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Y:\5 Конкурсы\3 Конкурсы РКС Москва\1. Автозаводская\Разводка ВИС\Тендерная документация\"/>
    </mc:Choice>
  </mc:AlternateContent>
  <bookViews>
    <workbookView xWindow="0" yWindow="0" windowWidth="23040" windowHeight="9075" tabRatio="500" activeTab="1"/>
  </bookViews>
  <sheets>
    <sheet name="Инж. системы и электр " sheetId="4" r:id="rId1"/>
    <sheet name="Версия 2" sheetId="5" r:id="rId2"/>
  </sheets>
  <definedNames>
    <definedName name="_xlnm.Print_Area" localSheetId="1">'Версия 2'!$A$1:$P$126</definedName>
    <definedName name="_xlnm.Print_Area" localSheetId="0">'Инж. системы и электр '!$A$1:$P$129</definedName>
  </definedNames>
  <calcPr calcId="162913" fullPrecision="0"/>
  <customWorkbookViews>
    <customWorkbookView name="Торова Татьяна Александровна - Личное представление" guid="{87E4F33A-198B-4228-A3EB-099730B3F5BA}" mergeInterval="0" personalView="1" maximized="1" xWindow="-8" yWindow="-8" windowWidth="1936" windowHeight="1048" tabRatio="500" activeSheetId="2"/>
    <customWorkbookView name="Савочкин Игорь Алексеевич - Личное представление" guid="{13EF18DF-0FF1-40F6-BE47-8A19F311E507}" mergeInterval="0" personalView="1" maximized="1" xWindow="-8" yWindow="-8" windowWidth="1936" windowHeight="1048" tabRatio="500" activeSheetId="1"/>
    <customWorkbookView name="Юсин Роман Витальевич - Личное представление" guid="{2488DEE7-8BB9-4776-95F6-7A8C1FC8D04D}" mergeInterval="0" personalView="1" maximized="1" xWindow="-8" yWindow="-8" windowWidth="1936" windowHeight="1056" tabRatio="500" activeSheetId="1"/>
  </customWorkbookViews>
</workbook>
</file>

<file path=xl/calcChain.xml><?xml version="1.0" encoding="utf-8"?>
<calcChain xmlns="http://schemas.openxmlformats.org/spreadsheetml/2006/main">
  <c r="L23" i="5" l="1"/>
  <c r="L27" i="5" l="1"/>
  <c r="H27" i="5"/>
  <c r="G27" i="5"/>
  <c r="F27" i="5"/>
  <c r="L26" i="5"/>
  <c r="H26" i="5"/>
  <c r="G26" i="5"/>
  <c r="F26" i="5"/>
  <c r="E27" i="5" l="1"/>
  <c r="O27" i="5" s="1"/>
  <c r="E26" i="5"/>
  <c r="P27" i="5"/>
  <c r="M26" i="5"/>
  <c r="O26" i="5"/>
  <c r="N26" i="5"/>
  <c r="P26" i="5"/>
  <c r="M27" i="5"/>
  <c r="N27" i="5"/>
  <c r="L68" i="5"/>
  <c r="H68" i="5"/>
  <c r="G68" i="5"/>
  <c r="F68" i="5"/>
  <c r="L67" i="5"/>
  <c r="H67" i="5"/>
  <c r="G67" i="5"/>
  <c r="F67" i="5"/>
  <c r="L64" i="5"/>
  <c r="E64" i="5"/>
  <c r="O64" i="5" s="1"/>
  <c r="L63" i="5"/>
  <c r="E63" i="5"/>
  <c r="N63" i="5" s="1"/>
  <c r="L62" i="5"/>
  <c r="E62" i="5"/>
  <c r="O62" i="5" s="1"/>
  <c r="L61" i="5"/>
  <c r="E61" i="5"/>
  <c r="N61" i="5" s="1"/>
  <c r="L60" i="5"/>
  <c r="E60" i="5"/>
  <c r="N60" i="5" s="1"/>
  <c r="L59" i="5"/>
  <c r="E59" i="5"/>
  <c r="N59" i="5" s="1"/>
  <c r="L58" i="5"/>
  <c r="E58" i="5"/>
  <c r="N58" i="5" s="1"/>
  <c r="L57" i="5"/>
  <c r="E57" i="5"/>
  <c r="M57" i="5" s="1"/>
  <c r="L56" i="5"/>
  <c r="E56" i="5"/>
  <c r="O56" i="5" s="1"/>
  <c r="L55" i="5"/>
  <c r="E55" i="5"/>
  <c r="N55" i="5" s="1"/>
  <c r="L54" i="5"/>
  <c r="E54" i="5"/>
  <c r="O54" i="5" s="1"/>
  <c r="L53" i="5"/>
  <c r="E53" i="5"/>
  <c r="N53" i="5" s="1"/>
  <c r="L52" i="5"/>
  <c r="E52" i="5"/>
  <c r="O52" i="5" s="1"/>
  <c r="L51" i="5"/>
  <c r="E51" i="5"/>
  <c r="N51" i="5" s="1"/>
  <c r="L50" i="5"/>
  <c r="E50" i="5"/>
  <c r="M50" i="5" s="1"/>
  <c r="L49" i="5"/>
  <c r="E49" i="5"/>
  <c r="O49" i="5" s="1"/>
  <c r="L48" i="5"/>
  <c r="H48" i="5"/>
  <c r="G48" i="5"/>
  <c r="F48" i="5"/>
  <c r="L47" i="5"/>
  <c r="H47" i="5"/>
  <c r="G47" i="5"/>
  <c r="F47" i="5"/>
  <c r="L46" i="5"/>
  <c r="H46" i="5"/>
  <c r="G46" i="5"/>
  <c r="F46" i="5"/>
  <c r="L45" i="5"/>
  <c r="H45" i="5"/>
  <c r="G45" i="5"/>
  <c r="F45" i="5"/>
  <c r="L44" i="5"/>
  <c r="H44" i="5"/>
  <c r="G44" i="5"/>
  <c r="F44" i="5"/>
  <c r="L43" i="5"/>
  <c r="H43" i="5"/>
  <c r="G43" i="5"/>
  <c r="F43" i="5"/>
  <c r="L42" i="5"/>
  <c r="E42" i="5"/>
  <c r="M42" i="5" s="1"/>
  <c r="L41" i="5"/>
  <c r="E41" i="5"/>
  <c r="O41" i="5" s="1"/>
  <c r="L40" i="5"/>
  <c r="E40" i="5"/>
  <c r="O40" i="5" s="1"/>
  <c r="L37" i="5"/>
  <c r="E37" i="5"/>
  <c r="N37" i="5" s="1"/>
  <c r="L36" i="5"/>
  <c r="E36" i="5"/>
  <c r="O36" i="5" s="1"/>
  <c r="L35" i="5"/>
  <c r="E35" i="5"/>
  <c r="N35" i="5" s="1"/>
  <c r="L34" i="5"/>
  <c r="E34" i="5"/>
  <c r="O34" i="5" s="1"/>
  <c r="L33" i="5"/>
  <c r="H33" i="5"/>
  <c r="G33" i="5"/>
  <c r="F33" i="5"/>
  <c r="L32" i="5"/>
  <c r="H32" i="5"/>
  <c r="G32" i="5"/>
  <c r="F32" i="5"/>
  <c r="L31" i="5"/>
  <c r="H31" i="5"/>
  <c r="G31" i="5"/>
  <c r="F31" i="5"/>
  <c r="L30" i="5"/>
  <c r="H30" i="5"/>
  <c r="G30" i="5"/>
  <c r="F30" i="5"/>
  <c r="L29" i="5"/>
  <c r="H29" i="5"/>
  <c r="G29" i="5"/>
  <c r="F29" i="5"/>
  <c r="L28" i="5"/>
  <c r="H28" i="5"/>
  <c r="G28" i="5"/>
  <c r="F28" i="5"/>
  <c r="L25" i="5"/>
  <c r="H25" i="5"/>
  <c r="G25" i="5"/>
  <c r="F25" i="5"/>
  <c r="L24" i="5"/>
  <c r="H24" i="5"/>
  <c r="G24" i="5"/>
  <c r="F24" i="5"/>
  <c r="H23" i="5"/>
  <c r="G23" i="5"/>
  <c r="F23" i="5"/>
  <c r="L21" i="5"/>
  <c r="H21" i="5"/>
  <c r="G21" i="5"/>
  <c r="F21" i="5"/>
  <c r="L20" i="5"/>
  <c r="H20" i="5"/>
  <c r="G20" i="5"/>
  <c r="F20" i="5"/>
  <c r="P73" i="5" l="1"/>
  <c r="P72" i="5"/>
  <c r="P71" i="5"/>
  <c r="E45" i="5"/>
  <c r="N45" i="5" s="1"/>
  <c r="E67" i="5"/>
  <c r="O67" i="5" s="1"/>
  <c r="E29" i="5"/>
  <c r="O29" i="5" s="1"/>
  <c r="E68" i="5"/>
  <c r="N68" i="5" s="1"/>
  <c r="E32" i="5"/>
  <c r="M32" i="5" s="1"/>
  <c r="E23" i="5"/>
  <c r="M23" i="5" s="1"/>
  <c r="E28" i="5"/>
  <c r="M28" i="5" s="1"/>
  <c r="E47" i="5"/>
  <c r="N47" i="5" s="1"/>
  <c r="N64" i="5"/>
  <c r="E46" i="5"/>
  <c r="N46" i="5" s="1"/>
  <c r="M54" i="5"/>
  <c r="N54" i="5"/>
  <c r="P54" i="5"/>
  <c r="M64" i="5"/>
  <c r="E20" i="5"/>
  <c r="N20" i="5" s="1"/>
  <c r="E33" i="5"/>
  <c r="O33" i="5" s="1"/>
  <c r="E21" i="5"/>
  <c r="O21" i="5" s="1"/>
  <c r="N50" i="5"/>
  <c r="P42" i="5"/>
  <c r="E24" i="5"/>
  <c r="P24" i="5" s="1"/>
  <c r="E48" i="5"/>
  <c r="P48" i="5" s="1"/>
  <c r="O45" i="5"/>
  <c r="P50" i="5"/>
  <c r="P45" i="5"/>
  <c r="P57" i="5"/>
  <c r="O60" i="5"/>
  <c r="P53" i="5"/>
  <c r="P63" i="5"/>
  <c r="E44" i="5"/>
  <c r="P44" i="5" s="1"/>
  <c r="O50" i="5"/>
  <c r="E30" i="5"/>
  <c r="O30" i="5" s="1"/>
  <c r="P64" i="5"/>
  <c r="O48" i="5"/>
  <c r="P62" i="5"/>
  <c r="M41" i="5"/>
  <c r="P61" i="5"/>
  <c r="N41" i="5"/>
  <c r="M58" i="5"/>
  <c r="P52" i="5"/>
  <c r="P55" i="5"/>
  <c r="O58" i="5"/>
  <c r="M62" i="5"/>
  <c r="M52" i="5"/>
  <c r="N62" i="5"/>
  <c r="E43" i="5"/>
  <c r="O43" i="5" s="1"/>
  <c r="N52" i="5"/>
  <c r="P56" i="5"/>
  <c r="P59" i="5"/>
  <c r="P67" i="5"/>
  <c r="P49" i="5"/>
  <c r="M56" i="5"/>
  <c r="P37" i="5"/>
  <c r="N56" i="5"/>
  <c r="P60" i="5"/>
  <c r="M60" i="5"/>
  <c r="P41" i="5"/>
  <c r="E31" i="5"/>
  <c r="O31" i="5" s="1"/>
  <c r="P58" i="5"/>
  <c r="P51" i="5"/>
  <c r="E25" i="5"/>
  <c r="N25" i="5" s="1"/>
  <c r="P40" i="5"/>
  <c r="P35" i="5"/>
  <c r="P29" i="5"/>
  <c r="P36" i="5"/>
  <c r="P34" i="5"/>
  <c r="P23" i="5"/>
  <c r="M47" i="5"/>
  <c r="O47" i="5"/>
  <c r="P47" i="5"/>
  <c r="M34" i="5"/>
  <c r="M67" i="5"/>
  <c r="M49" i="5"/>
  <c r="M55" i="5"/>
  <c r="M61" i="5"/>
  <c r="N67" i="5"/>
  <c r="N49" i="5"/>
  <c r="O51" i="5"/>
  <c r="O53" i="5"/>
  <c r="O55" i="5"/>
  <c r="O57" i="5"/>
  <c r="O59" i="5"/>
  <c r="O61" i="5"/>
  <c r="O63" i="5"/>
  <c r="N34" i="5"/>
  <c r="N36" i="5"/>
  <c r="M40" i="5"/>
  <c r="M53" i="5"/>
  <c r="M59" i="5"/>
  <c r="M63" i="5"/>
  <c r="M29" i="5"/>
  <c r="M37" i="5"/>
  <c r="N40" i="5"/>
  <c r="N42" i="5"/>
  <c r="N57" i="5"/>
  <c r="N23" i="5"/>
  <c r="N29" i="5"/>
  <c r="O42" i="5"/>
  <c r="O35" i="5"/>
  <c r="O37" i="5"/>
  <c r="M45" i="5"/>
  <c r="M36" i="5"/>
  <c r="M51" i="5"/>
  <c r="M35" i="5"/>
  <c r="O61" i="4"/>
  <c r="N61" i="4"/>
  <c r="M61" i="4"/>
  <c r="L61" i="4"/>
  <c r="P61" i="4" s="1"/>
  <c r="O60" i="4"/>
  <c r="N60" i="4"/>
  <c r="M60" i="4"/>
  <c r="L60" i="4"/>
  <c r="P60" i="4" s="1"/>
  <c r="P59" i="4"/>
  <c r="O59" i="4"/>
  <c r="N59" i="4"/>
  <c r="M59" i="4"/>
  <c r="L59" i="4"/>
  <c r="O55" i="4"/>
  <c r="N55" i="4"/>
  <c r="M55" i="4"/>
  <c r="L55" i="4"/>
  <c r="P55" i="4" s="1"/>
  <c r="E55" i="4"/>
  <c r="E59" i="4"/>
  <c r="E60" i="4"/>
  <c r="E61" i="4"/>
  <c r="M24" i="5" l="1"/>
  <c r="O23" i="5"/>
  <c r="N24" i="5"/>
  <c r="O28" i="5"/>
  <c r="P32" i="5"/>
  <c r="N28" i="5"/>
  <c r="P28" i="5"/>
  <c r="O46" i="5"/>
  <c r="M46" i="5"/>
  <c r="P68" i="5"/>
  <c r="P66" i="5" s="1"/>
  <c r="P65" i="5" s="1"/>
  <c r="M68" i="5"/>
  <c r="M66" i="5" s="1"/>
  <c r="M65" i="5" s="1"/>
  <c r="O68" i="5"/>
  <c r="O66" i="5" s="1"/>
  <c r="O65" i="5" s="1"/>
  <c r="O32" i="5"/>
  <c r="P46" i="5"/>
  <c r="N32" i="5"/>
  <c r="M20" i="5"/>
  <c r="M19" i="5" s="1"/>
  <c r="P30" i="5"/>
  <c r="P20" i="5"/>
  <c r="N30" i="5"/>
  <c r="M31" i="5"/>
  <c r="P21" i="5"/>
  <c r="M21" i="5"/>
  <c r="M48" i="5"/>
  <c r="O20" i="5"/>
  <c r="O19" i="5" s="1"/>
  <c r="N21" i="5"/>
  <c r="N19" i="5" s="1"/>
  <c r="O24" i="5"/>
  <c r="P33" i="5"/>
  <c r="M30" i="5"/>
  <c r="N33" i="5"/>
  <c r="M33" i="5"/>
  <c r="N48" i="5"/>
  <c r="O44" i="5"/>
  <c r="O39" i="5" s="1"/>
  <c r="O38" i="5" s="1"/>
  <c r="P25" i="5"/>
  <c r="M25" i="5"/>
  <c r="O25" i="5"/>
  <c r="M44" i="5"/>
  <c r="N44" i="5"/>
  <c r="N31" i="5"/>
  <c r="P31" i="5"/>
  <c r="M43" i="5"/>
  <c r="P43" i="5"/>
  <c r="N66" i="5"/>
  <c r="N65" i="5" s="1"/>
  <c r="N43" i="5"/>
  <c r="H74" i="4"/>
  <c r="H73" i="4"/>
  <c r="G74" i="4"/>
  <c r="F74" i="4"/>
  <c r="F73" i="4"/>
  <c r="G73" i="4"/>
  <c r="M22" i="5" l="1"/>
  <c r="P39" i="5"/>
  <c r="P38" i="5" s="1"/>
  <c r="O22" i="5"/>
  <c r="P19" i="5"/>
  <c r="N39" i="5"/>
  <c r="N38" i="5" s="1"/>
  <c r="N22" i="5"/>
  <c r="P22" i="5"/>
  <c r="P69" i="5" s="1"/>
  <c r="P70" i="5" s="1"/>
  <c r="M39" i="5"/>
  <c r="M38" i="5" s="1"/>
  <c r="M18" i="5"/>
  <c r="M69" i="5"/>
  <c r="O18" i="5"/>
  <c r="O69" i="5"/>
  <c r="L74" i="4"/>
  <c r="L73" i="4"/>
  <c r="E74" i="4"/>
  <c r="O74" i="4" s="1"/>
  <c r="E73" i="4"/>
  <c r="O73" i="4" s="1"/>
  <c r="O72" i="4" s="1"/>
  <c r="O71" i="4" s="1"/>
  <c r="P18" i="5" l="1"/>
  <c r="N18" i="5"/>
  <c r="N69" i="5"/>
  <c r="P74" i="4"/>
  <c r="M74" i="4"/>
  <c r="N74" i="4"/>
  <c r="P73" i="4"/>
  <c r="P72" i="4" s="1"/>
  <c r="P71" i="4" s="1"/>
  <c r="M73" i="4"/>
  <c r="M72" i="4" s="1"/>
  <c r="M71" i="4" s="1"/>
  <c r="N73" i="4"/>
  <c r="N72" i="4" s="1"/>
  <c r="N71" i="4" s="1"/>
  <c r="L35" i="4"/>
  <c r="L36" i="4"/>
  <c r="L37" i="4"/>
  <c r="L38" i="4"/>
  <c r="H30" i="4"/>
  <c r="G30" i="4"/>
  <c r="F30" i="4"/>
  <c r="H38" i="4"/>
  <c r="G38" i="4"/>
  <c r="F38" i="4"/>
  <c r="H37" i="4"/>
  <c r="G37" i="4"/>
  <c r="F37" i="4"/>
  <c r="H36" i="4"/>
  <c r="G36" i="4"/>
  <c r="F36" i="4"/>
  <c r="H35" i="4"/>
  <c r="G35" i="4"/>
  <c r="F35" i="4"/>
  <c r="H34" i="4"/>
  <c r="G34" i="4"/>
  <c r="F34" i="4"/>
  <c r="H33" i="4"/>
  <c r="G33" i="4"/>
  <c r="F33" i="4"/>
  <c r="H32" i="4"/>
  <c r="G32" i="4"/>
  <c r="F32" i="4"/>
  <c r="H31" i="4"/>
  <c r="G31" i="4"/>
  <c r="F31" i="4"/>
  <c r="E38" i="4" l="1"/>
  <c r="E37" i="4"/>
  <c r="E36" i="4"/>
  <c r="E35" i="4"/>
  <c r="E31" i="4"/>
  <c r="N31" i="4" s="1"/>
  <c r="N36" i="4" l="1"/>
  <c r="O36" i="4"/>
  <c r="M36" i="4"/>
  <c r="N35" i="4"/>
  <c r="O35" i="4"/>
  <c r="M35" i="4"/>
  <c r="N38" i="4"/>
  <c r="M38" i="4"/>
  <c r="O38" i="4"/>
  <c r="P35" i="4"/>
  <c r="N37" i="4"/>
  <c r="M37" i="4"/>
  <c r="P37" i="4"/>
  <c r="O37" i="4"/>
  <c r="P36" i="4"/>
  <c r="P38" i="4"/>
  <c r="L30" i="4"/>
  <c r="L28" i="4"/>
  <c r="L33" i="4"/>
  <c r="L34" i="4"/>
  <c r="L39" i="4"/>
  <c r="L40" i="4"/>
  <c r="L41" i="4"/>
  <c r="L42" i="4"/>
  <c r="E33" i="4"/>
  <c r="E34" i="4"/>
  <c r="E39" i="4"/>
  <c r="M39" i="4" s="1"/>
  <c r="E40" i="4"/>
  <c r="N40" i="4" s="1"/>
  <c r="E41" i="4"/>
  <c r="N41" i="4" s="1"/>
  <c r="E42" i="4"/>
  <c r="M42" i="4" s="1"/>
  <c r="P42" i="4" l="1"/>
  <c r="P41" i="4"/>
  <c r="M41" i="4"/>
  <c r="O41" i="4"/>
  <c r="P40" i="4"/>
  <c r="O40" i="4"/>
  <c r="M40" i="4"/>
  <c r="O42" i="4"/>
  <c r="N42" i="4"/>
  <c r="O39" i="4"/>
  <c r="N39" i="4"/>
  <c r="M34" i="4"/>
  <c r="N34" i="4"/>
  <c r="M33" i="4"/>
  <c r="N33" i="4"/>
  <c r="P39" i="4"/>
  <c r="P34" i="4"/>
  <c r="O34" i="4"/>
  <c r="P33" i="4"/>
  <c r="O33" i="4"/>
  <c r="L70" i="4"/>
  <c r="E28" i="4"/>
  <c r="N28" i="4" s="1"/>
  <c r="E30" i="4"/>
  <c r="N30" i="4" s="1"/>
  <c r="E70" i="4"/>
  <c r="O70" i="4" l="1"/>
  <c r="N70" i="4"/>
  <c r="M30" i="4"/>
  <c r="O30" i="4"/>
  <c r="M28" i="4"/>
  <c r="O28" i="4"/>
  <c r="P28" i="4"/>
  <c r="P30" i="4"/>
  <c r="P70" i="4"/>
  <c r="M70" i="4"/>
  <c r="L32" i="4"/>
  <c r="L26" i="4"/>
  <c r="E32" i="4" l="1"/>
  <c r="H27" i="4"/>
  <c r="G27" i="4"/>
  <c r="F27" i="4"/>
  <c r="H26" i="4"/>
  <c r="G26" i="4"/>
  <c r="F26" i="4"/>
  <c r="E26" i="4" s="1"/>
  <c r="H25" i="4"/>
  <c r="G25" i="4"/>
  <c r="F25" i="4"/>
  <c r="P26" i="4" l="1"/>
  <c r="N26" i="4"/>
  <c r="O32" i="4"/>
  <c r="N32" i="4"/>
  <c r="P32" i="4"/>
  <c r="M32" i="4"/>
  <c r="O26" i="4"/>
  <c r="M26" i="4"/>
  <c r="H54" i="4"/>
  <c r="G54" i="4"/>
  <c r="F54" i="4"/>
  <c r="H51" i="4"/>
  <c r="G51" i="4"/>
  <c r="F51" i="4"/>
  <c r="H53" i="4"/>
  <c r="G53" i="4"/>
  <c r="F53" i="4"/>
  <c r="H50" i="4"/>
  <c r="G50" i="4"/>
  <c r="F50" i="4"/>
  <c r="H52" i="4"/>
  <c r="G52" i="4"/>
  <c r="H49" i="4"/>
  <c r="G49" i="4"/>
  <c r="F52" i="4"/>
  <c r="F49" i="4"/>
  <c r="L51" i="4"/>
  <c r="L50" i="4"/>
  <c r="L49" i="4"/>
  <c r="E51" i="4" l="1"/>
  <c r="N51" i="4" s="1"/>
  <c r="E50" i="4"/>
  <c r="E49" i="4"/>
  <c r="P49" i="4" s="1"/>
  <c r="O51" i="4"/>
  <c r="M51" i="4"/>
  <c r="P51" i="4" l="1"/>
  <c r="O49" i="4"/>
  <c r="N49" i="4"/>
  <c r="O50" i="4"/>
  <c r="N50" i="4"/>
  <c r="P50" i="4"/>
  <c r="M50" i="4"/>
  <c r="M49" i="4"/>
  <c r="L69" i="4"/>
  <c r="L68" i="4"/>
  <c r="L67" i="4"/>
  <c r="L66" i="4"/>
  <c r="L65" i="4"/>
  <c r="L64" i="4"/>
  <c r="L63" i="4"/>
  <c r="L62" i="4"/>
  <c r="L58" i="4"/>
  <c r="L57" i="4"/>
  <c r="L56" i="4"/>
  <c r="L54" i="4"/>
  <c r="L53" i="4"/>
  <c r="L52" i="4"/>
  <c r="L48" i="4"/>
  <c r="L47" i="4"/>
  <c r="L46" i="4"/>
  <c r="E47" i="4"/>
  <c r="E48" i="4"/>
  <c r="E52" i="4"/>
  <c r="E53" i="4"/>
  <c r="E54" i="4"/>
  <c r="E56" i="4"/>
  <c r="E57" i="4"/>
  <c r="E58" i="4"/>
  <c r="E62" i="4"/>
  <c r="E63" i="4"/>
  <c r="E64" i="4"/>
  <c r="E65" i="4"/>
  <c r="E66" i="4"/>
  <c r="E67" i="4"/>
  <c r="E68" i="4"/>
  <c r="E69" i="4"/>
  <c r="E46" i="4"/>
  <c r="O54" i="4" l="1"/>
  <c r="N54" i="4"/>
  <c r="O57" i="4"/>
  <c r="N57" i="4"/>
  <c r="O56" i="4"/>
  <c r="N56" i="4"/>
  <c r="O52" i="4"/>
  <c r="N52" i="4"/>
  <c r="O46" i="4"/>
  <c r="N46" i="4"/>
  <c r="O69" i="4"/>
  <c r="N69" i="4"/>
  <c r="M68" i="4"/>
  <c r="N68" i="4"/>
  <c r="O64" i="4"/>
  <c r="N64" i="4"/>
  <c r="O58" i="4"/>
  <c r="N58" i="4"/>
  <c r="M53" i="4"/>
  <c r="N53" i="4"/>
  <c r="O48" i="4"/>
  <c r="N48" i="4"/>
  <c r="M67" i="4"/>
  <c r="N67" i="4"/>
  <c r="M65" i="4"/>
  <c r="N65" i="4"/>
  <c r="O63" i="4"/>
  <c r="N63" i="4"/>
  <c r="M47" i="4"/>
  <c r="N47" i="4"/>
  <c r="O66" i="4"/>
  <c r="N66" i="4"/>
  <c r="O62" i="4"/>
  <c r="N62" i="4"/>
  <c r="P69" i="4"/>
  <c r="P54" i="4"/>
  <c r="O53" i="4"/>
  <c r="P56" i="4"/>
  <c r="M54" i="4"/>
  <c r="O68" i="4"/>
  <c r="M69" i="4"/>
  <c r="P46" i="4"/>
  <c r="M46" i="4"/>
  <c r="O47" i="4"/>
  <c r="P63" i="4"/>
  <c r="P47" i="4"/>
  <c r="P67" i="4"/>
  <c r="O67" i="4"/>
  <c r="P53" i="4"/>
  <c r="P68" i="4"/>
  <c r="M56" i="4"/>
  <c r="P65" i="4"/>
  <c r="P57" i="4"/>
  <c r="P48" i="4"/>
  <c r="M57" i="4"/>
  <c r="O65" i="4"/>
  <c r="P64" i="4"/>
  <c r="M64" i="4"/>
  <c r="M48" i="4"/>
  <c r="P66" i="4"/>
  <c r="P58" i="4"/>
  <c r="M66" i="4"/>
  <c r="P52" i="4"/>
  <c r="M58" i="4"/>
  <c r="M52" i="4"/>
  <c r="P62" i="4"/>
  <c r="M63" i="4"/>
  <c r="M62" i="4"/>
  <c r="O45" i="4" l="1"/>
  <c r="O44" i="4" s="1"/>
  <c r="M45" i="4"/>
  <c r="M44" i="4" s="1"/>
  <c r="N45" i="4"/>
  <c r="N44" i="4" s="1"/>
  <c r="P45" i="4"/>
  <c r="P44" i="4" s="1"/>
  <c r="L22" i="4"/>
  <c r="L31" i="4"/>
  <c r="L43" i="4"/>
  <c r="H24" i="4"/>
  <c r="G24" i="4"/>
  <c r="F24" i="4"/>
  <c r="H21" i="4"/>
  <c r="G21" i="4"/>
  <c r="F21" i="4"/>
  <c r="E21" i="4" s="1"/>
  <c r="O21" i="4" l="1"/>
  <c r="N21" i="4"/>
  <c r="H43" i="4"/>
  <c r="G43" i="4"/>
  <c r="F43" i="4"/>
  <c r="H22" i="4"/>
  <c r="G22" i="4"/>
  <c r="F22" i="4"/>
  <c r="E43" i="4" l="1"/>
  <c r="N43" i="4" s="1"/>
  <c r="N29" i="4" s="1"/>
  <c r="E22" i="4"/>
  <c r="N22" i="4" s="1"/>
  <c r="N20" i="4" s="1"/>
  <c r="L21" i="4"/>
  <c r="P21" i="4" s="1"/>
  <c r="E27" i="4"/>
  <c r="N27" i="4" s="1"/>
  <c r="M22" i="4" l="1"/>
  <c r="O22" i="4"/>
  <c r="O20" i="4" s="1"/>
  <c r="P22" i="4"/>
  <c r="P20" i="4" s="1"/>
  <c r="M31" i="4"/>
  <c r="O31" i="4"/>
  <c r="P31" i="4"/>
  <c r="O43" i="4"/>
  <c r="M43" i="4"/>
  <c r="P43" i="4"/>
  <c r="E24" i="4"/>
  <c r="E25" i="4"/>
  <c r="N25" i="4" s="1"/>
  <c r="O24" i="4" l="1"/>
  <c r="N24" i="4"/>
  <c r="N23" i="4" s="1"/>
  <c r="N19" i="4" s="1"/>
  <c r="N75" i="4" s="1"/>
  <c r="M24" i="4"/>
  <c r="M29" i="4"/>
  <c r="P29" i="4"/>
  <c r="O29" i="4"/>
  <c r="L24" i="4"/>
  <c r="P24" i="4" s="1"/>
  <c r="L25" i="4"/>
  <c r="L27" i="4"/>
  <c r="O27" i="4" l="1"/>
  <c r="M27" i="4"/>
  <c r="P27" i="4"/>
  <c r="O25" i="4"/>
  <c r="O23" i="4" s="1"/>
  <c r="O19" i="4" s="1"/>
  <c r="O75" i="4" s="1"/>
  <c r="M25" i="4"/>
  <c r="M23" i="4" s="1"/>
  <c r="P25" i="4"/>
  <c r="P23" i="4" s="1"/>
  <c r="P19" i="4" s="1"/>
  <c r="P75" i="4" s="1"/>
  <c r="M21" i="4"/>
  <c r="M20" i="4" s="1"/>
  <c r="M19" i="4" l="1"/>
  <c r="M75" i="4" s="1"/>
  <c r="P76" i="4"/>
</calcChain>
</file>

<file path=xl/sharedStrings.xml><?xml version="1.0" encoding="utf-8"?>
<sst xmlns="http://schemas.openxmlformats.org/spreadsheetml/2006/main" count="476" uniqueCount="228">
  <si>
    <t>Ед.изм</t>
  </si>
  <si>
    <t>Наименование позиции</t>
  </si>
  <si>
    <t>№ п/п</t>
  </si>
  <si>
    <t>Стоимость на ед. с НДС, руб</t>
  </si>
  <si>
    <t>Стоимость всего с НДС, руб</t>
  </si>
  <si>
    <t>Всего</t>
  </si>
  <si>
    <t>1</t>
  </si>
  <si>
    <t>1.1</t>
  </si>
  <si>
    <t>1.1.1</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</si>
  <si>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</si>
  <si>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</si>
  <si>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2. Коммерческое предложение включает все мероприятия, связанные с производством работ в зимний период.</t>
  </si>
  <si>
    <t>1.1.2</t>
  </si>
  <si>
    <t>1.2</t>
  </si>
  <si>
    <t>1.2.1</t>
  </si>
  <si>
    <t>1.2.2</t>
  </si>
  <si>
    <t>1.2.3</t>
  </si>
  <si>
    <t>1.2.4</t>
  </si>
  <si>
    <t>м.п.</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</si>
  <si>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</si>
  <si>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СНиП, СП и включены в коммерческое предложение.                     </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</si>
  <si>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</si>
  <si>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7. Подсчет объемов работ производится по рабочим чертежам, взаиморасчет производится по фактически выполненным объемам.</t>
  </si>
  <si>
    <t>11. Работы по необходимым испытаниям,  включены в единичные цены Предложения, учтены и отдельно оплачиваться не будут</t>
  </si>
  <si>
    <t>8.  Перерасход материалов и расход при монтаже должны быть включены в единичные расценки и НЕ оплачиваются отдельно.</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</si>
  <si>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связаные с доставкой/разгрузкой/вывозом материала, водоснобжения, электроснабжением, водоотведением и прочие вопросы прямо или косвенно влияющие на производстов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</si>
  <si>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1.2.5</t>
  </si>
  <si>
    <t>Наименование контрагента</t>
  </si>
  <si>
    <t>Ячейки, выделенные данным цветом - обязательны к заполнению</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</si>
  <si>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</si>
  <si>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</si>
  <si>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</si>
  <si>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</si>
  <si>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</si>
  <si>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</si>
  <si>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</si>
  <si>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</si>
  <si>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</si>
  <si>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</si>
  <si>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</si>
  <si>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</si>
  <si>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</si>
  <si>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</si>
  <si>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</si>
  <si>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</si>
  <si>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</si>
  <si>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</si>
  <si>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</si>
  <si>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шт.</t>
  </si>
  <si>
    <t xml:space="preserve">Система контроля протечки воды </t>
  </si>
  <si>
    <t>Согласие с типовой формой договора Заказчика (да)</t>
  </si>
  <si>
    <t>Итого с НДС</t>
  </si>
  <si>
    <t>в том числе НДС 20%</t>
  </si>
  <si>
    <t>Согласие в подписание договора электронной цифровой подписью (да/нет)</t>
  </si>
  <si>
    <t>Работа</t>
  </si>
  <si>
    <t>Основные материалы</t>
  </si>
  <si>
    <t>Генподрядчик
ООО "РКС-Строй"
Генеральный директор</t>
  </si>
  <si>
    <r>
      <t xml:space="preserve">___________________ </t>
    </r>
    <r>
      <rPr>
        <b/>
        <sz val="12"/>
        <rFont val="Times New Roman"/>
        <family val="1"/>
        <charset val="204"/>
      </rPr>
      <t xml:space="preserve">А. Ю. Поташев </t>
    </r>
    <r>
      <rPr>
        <sz val="12"/>
        <rFont val="Times New Roman"/>
        <family val="2"/>
        <charset val="204"/>
      </rPr>
      <t xml:space="preserve">
М.П.</t>
    </r>
  </si>
  <si>
    <t>9.  Субподрядчик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</si>
  <si>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12. Субподрядчик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предоставляемыхГенподрядчиком и проч. Данные работы должны быть включены в единичные цены Предложения, учтены и отдельно оплачиваться не будут.</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</si>
  <si>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Субподрядчик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</si>
  <si>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Кол-во корпус 1</t>
  </si>
  <si>
    <t>Кол-во общее</t>
  </si>
  <si>
    <t>Кол-во корпус 2</t>
  </si>
  <si>
    <t>Кол-во корпус 3</t>
  </si>
  <si>
    <t>мп</t>
  </si>
  <si>
    <r>
      <t xml:space="preserve">Монтаж ПНД трубы </t>
    </r>
    <r>
      <rPr>
        <sz val="12"/>
        <rFont val="Calibri"/>
        <family val="2"/>
        <charset val="204"/>
      </rPr>
      <t>Ø20</t>
    </r>
    <r>
      <rPr>
        <sz val="12"/>
        <rFont val="Times New Roman"/>
        <family val="1"/>
        <charset val="204"/>
      </rPr>
      <t xml:space="preserve"> под кабельные линии в стяжке</t>
    </r>
  </si>
  <si>
    <r>
      <t xml:space="preserve">Монтаж ПНД трубы </t>
    </r>
    <r>
      <rPr>
        <sz val="12"/>
        <rFont val="Calibri"/>
        <family val="2"/>
        <charset val="204"/>
      </rPr>
      <t>Ø25</t>
    </r>
    <r>
      <rPr>
        <sz val="12"/>
        <rFont val="Times New Roman"/>
        <family val="1"/>
        <charset val="204"/>
      </rPr>
      <t xml:space="preserve"> под кабельные линии в стяжке</t>
    </r>
  </si>
  <si>
    <r>
      <t xml:space="preserve">Монтаж ПНД трубы </t>
    </r>
    <r>
      <rPr>
        <sz val="12"/>
        <rFont val="Calibri"/>
        <family val="2"/>
        <charset val="204"/>
      </rPr>
      <t>Ø16</t>
    </r>
    <r>
      <rPr>
        <sz val="12"/>
        <rFont val="Times New Roman"/>
        <family val="1"/>
        <charset val="204"/>
      </rPr>
      <t xml:space="preserve"> под кабельные линии в стяжке</t>
    </r>
  </si>
  <si>
    <t>Прокладка кабеля 3х1,5 ППГ нг(А)-HF (питание и распределительные сети освещения)</t>
  </si>
  <si>
    <t>Прокладка кабеля 4х1,5 ППГ нг(А)-HF (люстры)</t>
  </si>
  <si>
    <t>Прокладка кабеля 3х2,5 ППГ нг(А)-HF (сети розеток)</t>
  </si>
  <si>
    <t>Прокладка кабеля 3х4,0 ППГ нг(А)-HF (варочная панель)</t>
  </si>
  <si>
    <t>Прокладка кабеля 3х6,0 ППГ нг(А)-HF (водонагреватель проточный)</t>
  </si>
  <si>
    <t>Прокладка кабеля 1х6,0 ПуГВнг нг(А)-HF (система уравнивания потенциалов)</t>
  </si>
  <si>
    <t>Прокладка кабеля 1х4,0 ПуГВнг нг(А)-HF (система уравнивания потенциалов)</t>
  </si>
  <si>
    <t>Прокладка кабеля 4х2х0,5 UTP cat 5e (сеть)</t>
  </si>
  <si>
    <r>
      <t xml:space="preserve">Монтаж ПВХ трубы </t>
    </r>
    <r>
      <rPr>
        <sz val="12"/>
        <rFont val="Calibri"/>
        <family val="2"/>
        <charset val="204"/>
      </rPr>
      <t>Ø</t>
    </r>
    <r>
      <rPr>
        <sz val="12"/>
        <rFont val="Times New Roman"/>
        <family val="1"/>
        <charset val="204"/>
      </rPr>
      <t>20 под кабельные линии по открытому бетонному основанию (под питание и распределительные сети освещения, люстры, розетки и варочную панель)</t>
    </r>
  </si>
  <si>
    <r>
      <t xml:space="preserve">Монтаж ПВХ трубы </t>
    </r>
    <r>
      <rPr>
        <sz val="12"/>
        <rFont val="Calibri"/>
        <family val="2"/>
        <charset val="204"/>
      </rPr>
      <t>Ø</t>
    </r>
    <r>
      <rPr>
        <sz val="12"/>
        <rFont val="Times New Roman"/>
        <family val="1"/>
        <charset val="204"/>
      </rPr>
      <t>25 под кабельные линии по открытому бетонному основанию (под водонагреватель)</t>
    </r>
  </si>
  <si>
    <r>
      <t xml:space="preserve">Монтаж ПВХ трубы </t>
    </r>
    <r>
      <rPr>
        <sz val="12"/>
        <rFont val="Calibri"/>
        <family val="2"/>
        <charset val="204"/>
      </rPr>
      <t>Ø16</t>
    </r>
    <r>
      <rPr>
        <sz val="12"/>
        <rFont val="Times New Roman"/>
        <family val="1"/>
        <charset val="204"/>
      </rPr>
      <t xml:space="preserve"> под кабельные линии по открытому бетонному основанию (под систему урав потенциалов, сеть)</t>
    </r>
  </si>
  <si>
    <t>Прокладка кабеля, витая пара экранированный CAT.5e FTP 2х2х0,52. (Для датчиков) в ПНД трубе Ø16 по стене открытому бетонному основанию</t>
  </si>
  <si>
    <t>Прокладка кабеля, витая пара экранированный CAT.5e FTP 2х2х0,52. (Для датчиков) в ПНД трубе Ø16 в стяжке пола</t>
  </si>
  <si>
    <t>Маркировка кабельных линий бирками, согласно нормативам</t>
  </si>
  <si>
    <r>
      <t xml:space="preserve">Прокладка кабеля ПВС 3х0,75, ( Для кранов) в ПВХ трубе </t>
    </r>
    <r>
      <rPr>
        <sz val="12"/>
        <rFont val="Calibri"/>
        <family val="2"/>
        <charset val="204"/>
      </rPr>
      <t>Ø</t>
    </r>
    <r>
      <rPr>
        <sz val="12"/>
        <rFont val="Times New Roman"/>
        <family val="1"/>
        <charset val="204"/>
      </rPr>
      <t>20 по открытому бетонному основанию</t>
    </r>
  </si>
  <si>
    <t>компл</t>
  </si>
  <si>
    <t>компл.</t>
  </si>
  <si>
    <t>Установка водорозетки 16хG1/2 SANEXT на монтажной планке, включая крепежные элементы</t>
  </si>
  <si>
    <t>Устройство теплоизоляции К-Flex ST толщиной 13мм для трубопровода д=20 в составе:
- монтажная лента К-Flex
- клей К-Flex</t>
  </si>
  <si>
    <t>Устройство теплоизоляции К-Flex ST толщиной 13мм  для трубопровода д=20 в составе:
- монтажная лента К-Flex
- клей К-Flex</t>
  </si>
  <si>
    <t>Устройство трубопровода для ХВС из сшитого полиэтилена PE-xa 25х3,5мм включая фитинги и крепежные элементы</t>
  </si>
  <si>
    <t>Устройство теплоизоляции К-Flex ST толщиной 13мм  для трубопровода д=25 в составе:
- монтажная лента К-Flex
- клей К-Flex</t>
  </si>
  <si>
    <t>Устройство трубопровода для ГВС из сшитого полиэтилена PE-xa 25х3,5 включая фитинги и крепежные элементы</t>
  </si>
  <si>
    <t>Устройство трубопровода для ХВС в стяжке из сшитого полиэтилена PE-xa 20х2,8 включая фитинги и крепежные элементы</t>
  </si>
  <si>
    <t>Устройство трубопровода для ГВС в стяжке из сшитого полиэтилена PE-xa 20х2,8 включая фитинги и крепежные элементы</t>
  </si>
  <si>
    <t>Устройство трубопровода для ХВС по потолку и стенам из сшитого полиэтилена PE-xa 20х2,8 включая фитинги и крепежные элементы</t>
  </si>
  <si>
    <t>Устройство штробы под трубопровод из сшитого полиэтилена PE-xa 20 по пазогребневому основанию</t>
  </si>
  <si>
    <t>Монтаж трубопровода раструбного НПВХ 110 горизонтального, включая крепежные элементы, крестовины, отводы, тройники</t>
  </si>
  <si>
    <t>Монтаж трубопровода раструбного НПВХ 50 горизонтального, включая крепежные элементы, крестовины, отводы, тройники</t>
  </si>
  <si>
    <t>Устройство трубопровода для ГВС по потолку и стенам из сшитого полиэтилена PE-xa 20х2,8 включая фитинги и крепежные элементы</t>
  </si>
  <si>
    <t>Расходные материалы</t>
  </si>
  <si>
    <t>12 месяцев с даты подписания последней КС</t>
  </si>
  <si>
    <t>да/нет (выбрать нужное)</t>
  </si>
  <si>
    <t>Согласие с формой договора (да/нет)</t>
  </si>
  <si>
    <t>Согласие с подписанием по ЭДО (да/нет)</t>
  </si>
  <si>
    <t>60</t>
  </si>
  <si>
    <t>№ _______________ от __________ г.</t>
  </si>
  <si>
    <t>Система связи апартаментов</t>
  </si>
  <si>
    <t>Прокладка кабеля  U/UTP-CAT5e 4 пары CCA-UU004-5E-P-VC-GY (под розетку RJ45)</t>
  </si>
  <si>
    <t xml:space="preserve">Наименование работ: Полный комплекс работ по устройству инженерных систем, электроосвещения и системы связи в апартаментах </t>
  </si>
  <si>
    <r>
      <t xml:space="preserve">Монтаж ПВХ трубы </t>
    </r>
    <r>
      <rPr>
        <sz val="12"/>
        <rFont val="Calibri"/>
        <family val="2"/>
        <charset val="204"/>
      </rPr>
      <t>Ø</t>
    </r>
    <r>
      <rPr>
        <sz val="12"/>
        <rFont val="Times New Roman"/>
        <family val="1"/>
        <charset val="204"/>
      </rPr>
      <t xml:space="preserve">20 под кабельные линии с устройством штробы в газосиликатном основании (под питание и распр. линии, варочную панель) </t>
    </r>
  </si>
  <si>
    <r>
      <t xml:space="preserve">Монтаж ПВХ трубы </t>
    </r>
    <r>
      <rPr>
        <sz val="12"/>
        <rFont val="Calibri"/>
        <family val="2"/>
        <charset val="204"/>
      </rPr>
      <t>Ø</t>
    </r>
    <r>
      <rPr>
        <sz val="12"/>
        <rFont val="Times New Roman"/>
        <family val="1"/>
        <charset val="204"/>
      </rPr>
      <t>25 под кабельные линии с устройством штробы в газосиликатном основании (под водонагреватель)</t>
    </r>
  </si>
  <si>
    <r>
      <t xml:space="preserve">Монтаж ПВХ трубы </t>
    </r>
    <r>
      <rPr>
        <sz val="12"/>
        <rFont val="Calibri"/>
        <family val="2"/>
        <charset val="204"/>
      </rPr>
      <t>Ø16</t>
    </r>
    <r>
      <rPr>
        <sz val="12"/>
        <rFont val="Times New Roman"/>
        <family val="1"/>
        <charset val="204"/>
      </rPr>
      <t xml:space="preserve"> под кабельные линии с устройством штробы в газосиликатном основании (под систему урав потенциалов, сеть)</t>
    </r>
  </si>
  <si>
    <r>
      <t xml:space="preserve">Монтаж ПВХ трубы </t>
    </r>
    <r>
      <rPr>
        <sz val="12"/>
        <rFont val="Calibri"/>
        <family val="2"/>
        <charset val="204"/>
      </rPr>
      <t>Ø</t>
    </r>
    <r>
      <rPr>
        <sz val="12"/>
        <rFont val="Times New Roman"/>
        <family val="1"/>
        <charset val="204"/>
      </rPr>
      <t xml:space="preserve">20 под кабельные линии с устройством штробы в бетонном основании (под питание и распр. линии, варочную панель) </t>
    </r>
  </si>
  <si>
    <r>
      <t xml:space="preserve">Монтаж ПВХ трубы </t>
    </r>
    <r>
      <rPr>
        <sz val="12"/>
        <rFont val="Calibri"/>
        <family val="2"/>
        <charset val="204"/>
      </rPr>
      <t>Ø</t>
    </r>
    <r>
      <rPr>
        <sz val="12"/>
        <rFont val="Times New Roman"/>
        <family val="1"/>
        <charset val="204"/>
      </rPr>
      <t>25 под кабельные линии с устройством штробы в бетонном основании (под водонагреватель)</t>
    </r>
  </si>
  <si>
    <t>Монтаж ПВХ трубы Ø16 под кабельные линии с устройством штробы в пазогребневом основании (под розетку RJ45)</t>
  </si>
  <si>
    <t>1.3</t>
  </si>
  <si>
    <t>1.3.1</t>
  </si>
  <si>
    <t>1.3.2</t>
  </si>
  <si>
    <t>1.3.3</t>
  </si>
  <si>
    <t>1.3.4</t>
  </si>
  <si>
    <t>1.3.5</t>
  </si>
  <si>
    <t>Установка крана с электроприводом 3/4” Bugatti Special Edition 12v NEPTUN или аналог.</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</si>
  <si>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Генподрядчиком и в подсчете объемов учесть правильное решение.</t>
  </si>
  <si>
    <t>Внутренние инженерные сети (апартаменты)</t>
  </si>
  <si>
    <t>2.12</t>
  </si>
  <si>
    <t>2.12.1</t>
  </si>
  <si>
    <t>2.12.2</t>
  </si>
  <si>
    <t>2.12.5</t>
  </si>
  <si>
    <t>2.13.7</t>
  </si>
  <si>
    <t>Холодное водоснабжение В1, горячее водоснабжение Т3 
( 2-16 этажи )</t>
  </si>
  <si>
    <t>Х/б канализация К1</t>
  </si>
  <si>
    <t>1.3.6</t>
  </si>
  <si>
    <t>1.3.7</t>
  </si>
  <si>
    <t>1.3.8</t>
  </si>
  <si>
    <t>1.3.9</t>
  </si>
  <si>
    <t>1.3.10</t>
  </si>
  <si>
    <t>1.3.11</t>
  </si>
  <si>
    <t>1.3.12</t>
  </si>
  <si>
    <t>1.3.13</t>
  </si>
  <si>
    <t>1.3.14</t>
  </si>
  <si>
    <t>Электроснабжение</t>
  </si>
  <si>
    <t>1.4</t>
  </si>
  <si>
    <t>1.4.1</t>
  </si>
  <si>
    <t>1.4.1.1</t>
  </si>
  <si>
    <t>1.4.1.2</t>
  </si>
  <si>
    <t>1.4.1.3</t>
  </si>
  <si>
    <t>1.4.1.4</t>
  </si>
  <si>
    <t>1.4.1.5</t>
  </si>
  <si>
    <t>1.4.1.6</t>
  </si>
  <si>
    <t>1.4.1.7</t>
  </si>
  <si>
    <t>1.4.1.8</t>
  </si>
  <si>
    <t>1.4.1.9</t>
  </si>
  <si>
    <t>1.4.1.10</t>
  </si>
  <si>
    <t>1.4.1.11</t>
  </si>
  <si>
    <t>1.4.1.12</t>
  </si>
  <si>
    <t>1.4.1.13</t>
  </si>
  <si>
    <t>1.4.1.14</t>
  </si>
  <si>
    <t>1.4.1.15</t>
  </si>
  <si>
    <t>1.4.1.16</t>
  </si>
  <si>
    <t>1.4.1.17</t>
  </si>
  <si>
    <t>1.4.1.18</t>
  </si>
  <si>
    <t>1.4.1.19</t>
  </si>
  <si>
    <t>1.4.1.20</t>
  </si>
  <si>
    <t>1.4.1.21</t>
  </si>
  <si>
    <t>1.5</t>
  </si>
  <si>
    <t>Кабельные линии  2-16 этаж</t>
  </si>
  <si>
    <t>1.5.1</t>
  </si>
  <si>
    <t>1.5.1.1</t>
  </si>
  <si>
    <t>1.5.1.2</t>
  </si>
  <si>
    <t>1. В единичных расценках учтена последовательность операций и трудозатраты по устройству инженерных работ.</t>
  </si>
  <si>
    <t xml:space="preserve"> - аванс на материалы (оплата по распредписьмам) :</t>
  </si>
  <si>
    <t>Прокладка кабеля 2х1,5 ВВГнг(А)-LS (питание выключателей)</t>
  </si>
  <si>
    <t>Прокладка кабеля 2х2,5 ВВГнг(А)-LS (питание освещения)</t>
  </si>
  <si>
    <t>Прокладка кабеля 3х1,5 ВВГнг(А)-LS (питание переключателей)</t>
  </si>
  <si>
    <t>1.4.1.22</t>
  </si>
  <si>
    <t>1.4.1.23</t>
  </si>
  <si>
    <t>1.4.1.24</t>
  </si>
  <si>
    <r>
      <t xml:space="preserve">Монтаж ПВХ трубы </t>
    </r>
    <r>
      <rPr>
        <sz val="12"/>
        <rFont val="Calibri"/>
        <family val="2"/>
        <charset val="204"/>
      </rPr>
      <t>Ø16</t>
    </r>
    <r>
      <rPr>
        <sz val="12"/>
        <rFont val="Times New Roman"/>
        <family val="1"/>
        <charset val="204"/>
      </rPr>
      <t xml:space="preserve"> под кабельные линии с устройством штробы в бетонном основании (под систему урав потенциалов, сеть)</t>
    </r>
  </si>
  <si>
    <r>
      <t xml:space="preserve">Монтаж ПВХ трубы </t>
    </r>
    <r>
      <rPr>
        <sz val="12"/>
        <rFont val="Calibri"/>
        <family val="2"/>
        <charset val="204"/>
      </rPr>
      <t>Ø16</t>
    </r>
    <r>
      <rPr>
        <sz val="12"/>
        <rFont val="Times New Roman"/>
        <family val="1"/>
        <charset val="204"/>
      </rPr>
      <t xml:space="preserve"> под кабельные линии с устройством штробы в бетонном основании (под систему освещения)</t>
    </r>
  </si>
  <si>
    <t>1.4.1.25</t>
  </si>
  <si>
    <t>1.2.6</t>
  </si>
  <si>
    <t>1.2.7</t>
  </si>
  <si>
    <t>1.2.8</t>
  </si>
  <si>
    <t>1.2.9</t>
  </si>
  <si>
    <t>1.2.10</t>
  </si>
  <si>
    <t>1.2.11</t>
  </si>
  <si>
    <t>1.2.12</t>
  </si>
  <si>
    <t>1.2.13</t>
  </si>
  <si>
    <t>1.3.15</t>
  </si>
  <si>
    <t>1.3.16</t>
  </si>
  <si>
    <t>1.3.17</t>
  </si>
  <si>
    <t>1.3.18</t>
  </si>
  <si>
    <t>1.3.19</t>
  </si>
  <si>
    <t>1.3.20</t>
  </si>
  <si>
    <t>1.3.21</t>
  </si>
  <si>
    <t>1.3.22</t>
  </si>
  <si>
    <t>1.3.23</t>
  </si>
  <si>
    <t>1.3.24</t>
  </si>
  <si>
    <t>1.3.25</t>
  </si>
  <si>
    <t>1.3.26</t>
  </si>
  <si>
    <t>1.4.2</t>
  </si>
  <si>
    <t>1.4.3</t>
  </si>
  <si>
    <t>Прокладка кабеля 2х1,5 ВВГнг(А)-LS ГОСТ (питание выключателей)</t>
  </si>
  <si>
    <t>Прокладка кабеля 2х2,5 ВВГнг(А)-LS ГОСТ (питание освещения)</t>
  </si>
  <si>
    <t>Прокладка кабеля 3х1,5 ВВГнг(А)-LS ГОСТ (питание переключателей)</t>
  </si>
  <si>
    <t>Прокладка кабеля 3х1,5 ППГ нг(А)-HF ГОСТ (питание и распределительные сети освещения)</t>
  </si>
  <si>
    <t>Прокладка кабеля 4х1,5 ППГ нг(А)-HF ГОСТ (люстры)</t>
  </si>
  <si>
    <t>Прокладка кабеля 3х2,5 ППГ нг(А)-HF ГОСТ (сети розеток)</t>
  </si>
  <si>
    <t>Прокладка кабеля 3х4,0 ППГ нг(А)-HF ГОСТ (варочная панель)</t>
  </si>
  <si>
    <t>Прокладка кабеля 3х6,0 ППГ нг(А)-HF ГОСТ (водонагреватель проточный)</t>
  </si>
  <si>
    <t>Прокладка кабеля 1х6,0 ПуГВнг нг(А)-HF ГОСТ (система уравнивания потенциалов)</t>
  </si>
  <si>
    <t>Прокладка кабеля 1х4,0 ПуГВнг нг(А)-HF ГОСТ (система уравнивания потенциалов)</t>
  </si>
  <si>
    <t>Устройство трубопровода для ХВС из сшитого полиэтилена Sanext PE-xa 25х3,5мм включая фитинги и крепежные элементы</t>
  </si>
  <si>
    <r>
      <t xml:space="preserve">Устройство трубопровода для ХВС в стяжке из сшитого полиэтилена PE-xa 20х2,8 включая фитинги, дюбель-крюки и крепежные элементы. </t>
    </r>
    <r>
      <rPr>
        <b/>
        <sz val="12"/>
        <rFont val="Times New Roman"/>
        <family val="1"/>
        <charset val="204"/>
      </rPr>
      <t>Вариант 1.</t>
    </r>
  </si>
  <si>
    <t>1.2.2.1</t>
  </si>
  <si>
    <t>1.2.3.1</t>
  </si>
  <si>
    <t>1.2.2.2</t>
  </si>
  <si>
    <t>1.2.3.2</t>
  </si>
  <si>
    <r>
      <t>Устройство трубопровода для ХВС в стяжке из сшитого полиэтилена PE-xa 16х2,2 включая фитинги, дюбель-крюки и крепежные элементы.</t>
    </r>
    <r>
      <rPr>
        <b/>
        <sz val="12"/>
        <rFont val="Times New Roman"/>
        <family val="1"/>
        <charset val="204"/>
      </rPr>
      <t xml:space="preserve"> </t>
    </r>
    <r>
      <rPr>
        <b/>
        <sz val="12"/>
        <color rgb="FFFF0000"/>
        <rFont val="Times New Roman"/>
        <family val="1"/>
        <charset val="204"/>
      </rPr>
      <t>Вариант 2.</t>
    </r>
  </si>
  <si>
    <r>
      <t xml:space="preserve">Устройство теплоизоляции К-Flex ST, Valtec, Energoflex толщиной 13мм для трубопровода d=16  </t>
    </r>
    <r>
      <rPr>
        <b/>
        <sz val="12"/>
        <color rgb="FFFF0000"/>
        <rFont val="Times New Roman"/>
        <family val="1"/>
        <charset val="204"/>
      </rPr>
      <t>Вариант 2.</t>
    </r>
  </si>
  <si>
    <r>
      <t xml:space="preserve">Устройство теплоизоляции К-Flex ST, Valtec, Energoflex толщиной 13мм для трубопровода d=20. </t>
    </r>
    <r>
      <rPr>
        <b/>
        <sz val="12"/>
        <rFont val="Times New Roman"/>
        <family val="1"/>
        <charset val="204"/>
      </rPr>
      <t>Вариант 1.</t>
    </r>
  </si>
  <si>
    <t>Устройство теплоизоляции К-Flex ST, Valtec, Energoflex толщиной 13мм  для трубопровода d=20.</t>
  </si>
  <si>
    <t>Устройство теплоизоляции К-Flex ST, Valtec, Energoflex толщиной 13мм для трубопровода d=20.</t>
  </si>
  <si>
    <t>Устройство теплоизоляции К-Flex ST, Valtec, Energoflex толщиной 13мм  для трубопровода d=25.</t>
  </si>
  <si>
    <t>в том числе Корпус 1</t>
  </si>
  <si>
    <t>в том числе Корпус 2</t>
  </si>
  <si>
    <t>в том числе Корпус 3</t>
  </si>
  <si>
    <t>7. Подсчет объемов работ производится по рабочим чертежам. Единичные расценки фиксируются на весь период выполнения работ по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</si>
</sst>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33"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b/>
      <sz val="11"/>
      <name val="Arial"/>
      <family val="2"/>
      <charset val="204"/>
    </font>
    <font>
      <sz val="11"/>
      <name val="Arial"/>
      <family val="2"/>
      <charset val="204"/>
    </font>
    <font>
      <sz val="12"/>
      <color theme="1"/>
      <name val="Times New Roman"/>
      <family val="1"/>
      <charset val="204"/>
    </font>
    <font>
      <b/>
      <sz val="10"/>
      <name val="Times New Roman"/>
      <family val="1"/>
      <charset val="204"/>
    </font>
    <font>
      <sz val="10"/>
      <name val="Times New Roman"/>
      <family val="1"/>
      <charset val="204"/>
    </font>
    <font>
      <b/>
      <sz val="12"/>
      <color indexed="8"/>
      <name val="Times New Roman"/>
      <family val="1"/>
      <charset val="204"/>
    </font>
    <font>
      <sz val="12"/>
      <color indexed="8"/>
      <name val="Times New Roman"/>
      <family val="1"/>
      <charset val="204"/>
    </font>
    <font>
      <sz val="12"/>
      <name val="Calibri"/>
      <family val="2"/>
      <charset val="204"/>
    </font>
    <font>
      <sz val="8"/>
      <name val="Arial"/>
      <family val="2"/>
      <charset val="204"/>
    </font>
    <font>
      <b/>
      <sz val="12"/>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rgb="FF00B050"/>
        <bgColor indexed="64"/>
      </patternFill>
    </fill>
    <fill>
      <patternFill patternType="solid">
        <fgColor rgb="FFFEF2CB"/>
        <bgColor rgb="FFFEF2CB"/>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2">
    <xf numFmtId="0" fontId="0" fillId="0" borderId="0"/>
    <xf numFmtId="0" fontId="15" fillId="0" borderId="0"/>
    <xf numFmtId="0" fontId="16" fillId="0" borderId="0"/>
    <xf numFmtId="0" fontId="7" fillId="0" borderId="0"/>
    <xf numFmtId="0" fontId="6" fillId="0" borderId="0"/>
    <xf numFmtId="43" fontId="19" fillId="0" borderId="0" applyFont="0" applyFill="0" applyBorder="0" applyAlignment="0" applyProtection="0"/>
    <xf numFmtId="0" fontId="5" fillId="0" borderId="0"/>
    <xf numFmtId="0" fontId="4" fillId="0" borderId="0"/>
    <xf numFmtId="0" fontId="4" fillId="0" borderId="0"/>
    <xf numFmtId="43" fontId="19" fillId="0" borderId="0" applyFont="0" applyFill="0" applyBorder="0" applyAlignment="0" applyProtection="0"/>
    <xf numFmtId="0" fontId="4" fillId="0" borderId="0"/>
    <xf numFmtId="0" fontId="16" fillId="0" borderId="0"/>
    <xf numFmtId="0" fontId="1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50">
    <xf numFmtId="0" fontId="0" fillId="0" borderId="0" xfId="0"/>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49" fontId="0" fillId="0" borderId="0" xfId="0" applyNumberFormat="1" applyAlignment="1">
      <alignment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horizontal="center" vertical="center" wrapText="1"/>
    </xf>
    <xf numFmtId="4" fontId="24" fillId="2" borderId="0" xfId="0" applyNumberFormat="1" applyFont="1" applyFill="1" applyBorder="1" applyAlignment="1">
      <alignment horizontal="center"/>
    </xf>
    <xf numFmtId="0" fontId="11" fillId="0" borderId="0" xfId="0" applyNumberFormat="1" applyFont="1" applyFill="1" applyBorder="1" applyAlignment="1" applyProtection="1">
      <alignment horizontal="left" vertical="center" wrapText="1" shrinkToFit="1"/>
    </xf>
    <xf numFmtId="49" fontId="0" fillId="2" borderId="0" xfId="0" applyNumberFormat="1" applyFill="1" applyAlignment="1">
      <alignment wrapText="1"/>
    </xf>
    <xf numFmtId="49" fontId="8" fillId="6" borderId="0" xfId="0" applyNumberFormat="1" applyFont="1" applyFill="1" applyAlignment="1">
      <alignment wrapText="1"/>
    </xf>
    <xf numFmtId="49" fontId="8" fillId="7" borderId="0" xfId="0" applyNumberFormat="1" applyFont="1" applyFill="1" applyAlignment="1">
      <alignment wrapText="1"/>
    </xf>
    <xf numFmtId="49" fontId="8" fillId="0" borderId="0" xfId="0" applyNumberFormat="1" applyFont="1" applyFill="1" applyAlignment="1">
      <alignment wrapText="1"/>
    </xf>
    <xf numFmtId="49" fontId="9" fillId="0" borderId="0" xfId="0" applyNumberFormat="1" applyFont="1" applyAlignment="1">
      <alignment horizontal="center" wrapText="1"/>
    </xf>
    <xf numFmtId="4" fontId="9" fillId="0" borderId="0" xfId="0" applyNumberFormat="1" applyFont="1" applyAlignment="1">
      <alignment horizontal="center"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horizontal="center" wrapText="1"/>
    </xf>
    <xf numFmtId="4" fontId="15" fillId="2" borderId="0" xfId="0" applyNumberFormat="1" applyFont="1" applyFill="1" applyBorder="1" applyAlignment="1"/>
    <xf numFmtId="3" fontId="23" fillId="2" borderId="0" xfId="0" applyNumberFormat="1" applyFont="1" applyFill="1" applyBorder="1" applyAlignment="1"/>
    <xf numFmtId="0" fontId="27" fillId="0" borderId="0" xfId="0" applyFont="1"/>
    <xf numFmtId="0" fontId="27" fillId="0" borderId="0" xfId="0" applyFont="1" applyAlignment="1">
      <alignment horizontal="left"/>
    </xf>
    <xf numFmtId="4" fontId="20" fillId="0" borderId="0" xfId="0" applyNumberFormat="1" applyFont="1" applyAlignment="1">
      <alignment wrapText="1"/>
    </xf>
    <xf numFmtId="49" fontId="20" fillId="2" borderId="0" xfId="0" applyNumberFormat="1" applyFont="1" applyFill="1" applyBorder="1" applyAlignment="1">
      <alignment wrapText="1"/>
    </xf>
    <xf numFmtId="49" fontId="20" fillId="2" borderId="0" xfId="0" applyNumberFormat="1" applyFont="1" applyFill="1" applyAlignment="1">
      <alignment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28" fillId="4" borderId="1" xfId="0" applyNumberFormat="1" applyFont="1" applyFill="1" applyBorder="1" applyAlignment="1">
      <alignment horizontal="center" vertical="center" wrapText="1"/>
    </xf>
    <xf numFmtId="4" fontId="9" fillId="0" borderId="0" xfId="0" applyNumberFormat="1" applyFont="1" applyAlignment="1">
      <alignment horizontal="left" wrapText="1"/>
    </xf>
    <xf numFmtId="49" fontId="10" fillId="3" borderId="14" xfId="0" applyNumberFormat="1" applyFont="1" applyFill="1" applyBorder="1" applyAlignment="1">
      <alignment vertical="center" wrapText="1"/>
    </xf>
    <xf numFmtId="49" fontId="10" fillId="3" borderId="0" xfId="0" applyNumberFormat="1" applyFont="1" applyFill="1" applyBorder="1" applyAlignment="1">
      <alignment vertical="center" wrapText="1"/>
    </xf>
    <xf numFmtId="0" fontId="9" fillId="0" borderId="1" xfId="0" applyFont="1" applyFill="1" applyBorder="1" applyAlignment="1">
      <alignment horizontal="right" vertical="center" wrapText="1"/>
    </xf>
    <xf numFmtId="2" fontId="22" fillId="0" borderId="0" xfId="21" applyNumberFormat="1" applyFont="1" applyAlignment="1">
      <alignment wrapText="1"/>
    </xf>
    <xf numFmtId="49" fontId="26" fillId="0" borderId="0" xfId="21" applyNumberFormat="1" applyFont="1" applyAlignment="1"/>
    <xf numFmtId="49" fontId="9" fillId="0" borderId="0" xfId="0" applyNumberFormat="1" applyFont="1" applyFill="1" applyAlignment="1">
      <alignment horizontal="center" wrapText="1"/>
    </xf>
    <xf numFmtId="4" fontId="9" fillId="0" borderId="0" xfId="0" applyNumberFormat="1" applyFont="1" applyFill="1" applyAlignment="1">
      <alignment horizontal="center" wrapText="1"/>
    </xf>
    <xf numFmtId="4" fontId="9" fillId="0" borderId="21" xfId="0" applyNumberFormat="1" applyFont="1" applyFill="1" applyBorder="1" applyAlignment="1">
      <alignment horizontal="left" vertical="center" wrapText="1"/>
    </xf>
    <xf numFmtId="49" fontId="26" fillId="0" borderId="0" xfId="6" applyNumberFormat="1" applyFont="1" applyAlignment="1"/>
    <xf numFmtId="0" fontId="15" fillId="0" borderId="0" xfId="1"/>
    <xf numFmtId="0" fontId="31" fillId="0" borderId="0" xfId="1" applyFont="1" applyAlignment="1">
      <alignment horizontal="center" vertical="center"/>
    </xf>
    <xf numFmtId="4" fontId="27" fillId="0" borderId="0" xfId="6" applyNumberFormat="1" applyFont="1" applyBorder="1" applyAlignment="1">
      <alignment horizontal="left" wrapText="1"/>
    </xf>
    <xf numFmtId="49" fontId="28" fillId="9" borderId="12" xfId="0" applyNumberFormat="1" applyFont="1" applyFill="1" applyBorder="1" applyAlignment="1">
      <alignment horizontal="center" vertical="center" wrapText="1"/>
    </xf>
    <xf numFmtId="0" fontId="18" fillId="9" borderId="12" xfId="0" applyFont="1" applyFill="1" applyBorder="1" applyAlignment="1">
      <alignment horizontal="right" vertical="center" wrapText="1"/>
    </xf>
    <xf numFmtId="49" fontId="18" fillId="4" borderId="37" xfId="0" applyNumberFormat="1" applyFont="1" applyFill="1" applyBorder="1" applyAlignment="1">
      <alignment horizontal="left" vertical="center" wrapText="1"/>
    </xf>
    <xf numFmtId="49" fontId="28" fillId="0" borderId="6" xfId="0" applyNumberFormat="1" applyFont="1" applyFill="1" applyBorder="1" applyAlignment="1">
      <alignment horizontal="center" vertical="center" wrapText="1"/>
    </xf>
    <xf numFmtId="0" fontId="9" fillId="3" borderId="37" xfId="11" applyFont="1" applyFill="1" applyBorder="1" applyAlignment="1">
      <alignment horizontal="left" wrapText="1"/>
    </xf>
    <xf numFmtId="0" fontId="9" fillId="0" borderId="37" xfId="11" applyFont="1" applyFill="1" applyBorder="1" applyAlignment="1">
      <alignment horizontal="left" wrapText="1"/>
    </xf>
    <xf numFmtId="0" fontId="9" fillId="0" borderId="37" xfId="0" applyFont="1" applyFill="1" applyBorder="1" applyAlignment="1">
      <alignment horizontal="left" vertical="center" wrapText="1"/>
    </xf>
    <xf numFmtId="0" fontId="9" fillId="0" borderId="37" xfId="0" applyFont="1" applyBorder="1" applyAlignment="1">
      <alignment horizontal="left" vertical="center" wrapText="1"/>
    </xf>
    <xf numFmtId="0" fontId="9" fillId="0" borderId="37" xfId="0" applyNumberFormat="1" applyFont="1" applyFill="1" applyBorder="1" applyAlignment="1">
      <alignment horizontal="left" vertical="top" wrapText="1"/>
    </xf>
    <xf numFmtId="49" fontId="28" fillId="0" borderId="18" xfId="0" applyNumberFormat="1" applyFont="1" applyFill="1" applyBorder="1" applyAlignment="1">
      <alignment horizontal="center" vertical="center" wrapText="1"/>
    </xf>
    <xf numFmtId="0" fontId="9" fillId="0" borderId="24" xfId="0" applyNumberFormat="1" applyFont="1" applyFill="1" applyBorder="1" applyAlignment="1">
      <alignment horizontal="left" vertical="top" wrapText="1"/>
    </xf>
    <xf numFmtId="0" fontId="18" fillId="9" borderId="12" xfId="0" applyFont="1" applyFill="1" applyBorder="1" applyAlignment="1">
      <alignment horizontal="center" vertical="center" wrapText="1"/>
    </xf>
    <xf numFmtId="49" fontId="25" fillId="4" borderId="33" xfId="0" applyNumberFormat="1" applyFont="1" applyFill="1" applyBorder="1" applyAlignment="1">
      <alignment horizontal="center" vertical="center" wrapText="1"/>
    </xf>
    <xf numFmtId="49" fontId="9" fillId="3" borderId="33" xfId="12" applyNumberFormat="1" applyFont="1" applyFill="1" applyBorder="1" applyAlignment="1">
      <alignment horizontal="center" vertical="center" wrapText="1"/>
    </xf>
    <xf numFmtId="49" fontId="9" fillId="0" borderId="33" xfId="12" applyNumberFormat="1"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3" fontId="20" fillId="0" borderId="0" xfId="0" applyNumberFormat="1" applyFont="1" applyAlignment="1">
      <alignment horizontal="center" vertical="center" wrapText="1"/>
    </xf>
    <xf numFmtId="3" fontId="0" fillId="0" borderId="0" xfId="0" applyNumberFormat="1" applyAlignment="1">
      <alignment wrapText="1"/>
    </xf>
    <xf numFmtId="3" fontId="0" fillId="2" borderId="0" xfId="0" applyNumberFormat="1" applyFill="1" applyAlignment="1">
      <alignment wrapText="1"/>
    </xf>
    <xf numFmtId="3" fontId="20" fillId="2" borderId="0" xfId="0" applyNumberFormat="1" applyFont="1" applyFill="1" applyAlignment="1">
      <alignment horizontal="center" vertical="center" wrapText="1"/>
    </xf>
    <xf numFmtId="3" fontId="9" fillId="0" borderId="15" xfId="0" applyNumberFormat="1" applyFont="1" applyFill="1" applyBorder="1" applyAlignment="1">
      <alignment horizontal="left" vertical="center" wrapText="1"/>
    </xf>
    <xf numFmtId="3" fontId="9" fillId="0" borderId="0" xfId="0" applyNumberFormat="1" applyFont="1" applyFill="1" applyBorder="1" applyAlignment="1">
      <alignment horizontal="left" vertical="center" wrapText="1"/>
    </xf>
    <xf numFmtId="3" fontId="9" fillId="0" borderId="0" xfId="0" applyNumberFormat="1" applyFont="1" applyFill="1" applyBorder="1" applyAlignment="1">
      <alignment horizontal="center" vertical="center" wrapText="1"/>
    </xf>
    <xf numFmtId="3" fontId="12" fillId="0" borderId="27" xfId="0" applyNumberFormat="1" applyFont="1" applyBorder="1" applyAlignment="1" applyProtection="1">
      <alignment horizontal="center" vertical="center" wrapText="1"/>
      <protection locked="0"/>
    </xf>
    <xf numFmtId="3" fontId="12" fillId="0" borderId="20" xfId="0" applyNumberFormat="1" applyFont="1" applyBorder="1" applyAlignment="1" applyProtection="1">
      <alignment horizontal="center" vertical="center" wrapText="1"/>
      <protection locked="0"/>
    </xf>
    <xf numFmtId="3" fontId="12" fillId="0" borderId="24" xfId="0" applyNumberFormat="1" applyFont="1" applyBorder="1" applyAlignment="1" applyProtection="1">
      <alignment horizontal="center" vertical="center" wrapText="1"/>
      <protection locked="0"/>
    </xf>
    <xf numFmtId="3" fontId="12" fillId="0" borderId="18" xfId="0" applyNumberFormat="1" applyFont="1" applyBorder="1" applyAlignment="1" applyProtection="1">
      <alignment horizontal="center" vertical="center" wrapText="1"/>
      <protection locked="0"/>
    </xf>
    <xf numFmtId="3" fontId="12" fillId="0" borderId="19"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3" fontId="18" fillId="4" borderId="33" xfId="0" applyNumberFormat="1" applyFont="1" applyFill="1" applyBorder="1" applyAlignment="1">
      <alignment horizontal="center" vertical="center" wrapText="1"/>
    </xf>
    <xf numFmtId="3" fontId="18" fillId="4" borderId="8" xfId="0" applyNumberFormat="1"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3" fontId="9" fillId="0" borderId="33" xfId="12" applyNumberFormat="1" applyFont="1" applyFill="1" applyBorder="1" applyAlignment="1">
      <alignment horizontal="center" vertical="center" wrapText="1"/>
    </xf>
    <xf numFmtId="3" fontId="9" fillId="3" borderId="8" xfId="12" applyNumberFormat="1" applyFont="1" applyFill="1" applyBorder="1" applyAlignment="1">
      <alignment horizontal="center" vertical="center" wrapText="1"/>
    </xf>
    <xf numFmtId="3" fontId="9" fillId="3" borderId="1" xfId="12" applyNumberFormat="1" applyFont="1" applyFill="1" applyBorder="1" applyAlignment="1">
      <alignment horizontal="center" vertical="center" wrapText="1"/>
    </xf>
    <xf numFmtId="3" fontId="9" fillId="3" borderId="7" xfId="12" applyNumberFormat="1" applyFont="1" applyFill="1" applyBorder="1" applyAlignment="1">
      <alignment horizontal="center" vertical="center" wrapText="1"/>
    </xf>
    <xf numFmtId="3" fontId="9" fillId="0" borderId="8" xfId="5" applyNumberFormat="1" applyFont="1" applyBorder="1" applyAlignment="1">
      <alignment horizontal="center" vertical="center" wrapText="1"/>
    </xf>
    <xf numFmtId="3" fontId="9" fillId="0" borderId="1" xfId="5" applyNumberFormat="1" applyFont="1" applyBorder="1" applyAlignment="1">
      <alignment horizontal="center" vertical="center" wrapText="1"/>
    </xf>
    <xf numFmtId="3" fontId="9" fillId="0" borderId="7" xfId="5" applyNumberFormat="1" applyFont="1" applyBorder="1" applyAlignment="1">
      <alignment horizontal="center" vertical="center" wrapText="1"/>
    </xf>
    <xf numFmtId="3" fontId="9" fillId="0" borderId="11" xfId="5" applyNumberFormat="1" applyFont="1" applyBorder="1" applyAlignment="1">
      <alignment horizontal="center" vertical="center" wrapText="1"/>
    </xf>
    <xf numFmtId="3" fontId="9" fillId="0" borderId="12" xfId="5" applyNumberFormat="1" applyFont="1" applyBorder="1" applyAlignment="1">
      <alignment horizontal="center" vertical="center" wrapText="1"/>
    </xf>
    <xf numFmtId="3" fontId="9" fillId="0" borderId="13" xfId="5" applyNumberFormat="1" applyFont="1" applyBorder="1" applyAlignment="1">
      <alignment horizontal="center" vertical="center" wrapText="1"/>
    </xf>
    <xf numFmtId="3" fontId="9" fillId="0" borderId="8" xfId="12" applyNumberFormat="1" applyFont="1" applyFill="1" applyBorder="1" applyAlignment="1">
      <alignment horizontal="center" vertical="center" wrapText="1"/>
    </xf>
    <xf numFmtId="3" fontId="9" fillId="0" borderId="1" xfId="12" applyNumberFormat="1" applyFont="1" applyFill="1" applyBorder="1" applyAlignment="1">
      <alignment horizontal="center" vertical="center" wrapText="1"/>
    </xf>
    <xf numFmtId="3" fontId="9" fillId="0" borderId="7" xfId="12" applyNumberFormat="1" applyFont="1" applyFill="1" applyBorder="1" applyAlignment="1">
      <alignment horizontal="center" vertical="center" wrapText="1"/>
    </xf>
    <xf numFmtId="3" fontId="18" fillId="4" borderId="7" xfId="0" applyNumberFormat="1" applyFont="1" applyFill="1" applyBorder="1" applyAlignment="1">
      <alignment horizontal="center" vertical="center" wrapText="1"/>
    </xf>
    <xf numFmtId="3" fontId="9" fillId="0" borderId="38" xfId="12" applyNumberFormat="1" applyFont="1" applyFill="1" applyBorder="1" applyAlignment="1">
      <alignment horizontal="center" vertical="center" wrapText="1"/>
    </xf>
    <xf numFmtId="3" fontId="18" fillId="9" borderId="12" xfId="5" applyNumberFormat="1" applyFont="1" applyFill="1" applyBorder="1" applyAlignment="1">
      <alignment horizontal="center" vertical="center" wrapText="1"/>
    </xf>
    <xf numFmtId="3" fontId="18" fillId="9" borderId="1" xfId="5" applyNumberFormat="1" applyFont="1" applyFill="1" applyBorder="1" applyAlignment="1">
      <alignment horizontal="center" vertical="center" wrapText="1"/>
    </xf>
    <xf numFmtId="3" fontId="11" fillId="0" borderId="0" xfId="0" applyNumberFormat="1" applyFont="1" applyFill="1" applyBorder="1" applyAlignment="1" applyProtection="1">
      <alignment horizontal="left" vertical="center" wrapText="1" shrinkToFit="1"/>
    </xf>
    <xf numFmtId="3" fontId="26" fillId="0" borderId="0" xfId="6" applyNumberFormat="1" applyFont="1" applyAlignment="1"/>
    <xf numFmtId="3" fontId="15" fillId="0" borderId="0" xfId="1" applyNumberFormat="1"/>
    <xf numFmtId="3" fontId="11" fillId="0" borderId="0" xfId="0" applyNumberFormat="1" applyFont="1" applyFill="1" applyBorder="1" applyAlignment="1" applyProtection="1">
      <alignment horizontal="center" vertical="center" wrapText="1" shrinkToFit="1"/>
    </xf>
    <xf numFmtId="3" fontId="26" fillId="0" borderId="0" xfId="21" applyNumberFormat="1" applyFont="1" applyAlignment="1"/>
    <xf numFmtId="3" fontId="20" fillId="2" borderId="0" xfId="0" applyNumberFormat="1" applyFont="1" applyFill="1" applyBorder="1" applyAlignment="1">
      <alignment horizontal="center" vertical="center" wrapText="1"/>
    </xf>
    <xf numFmtId="3" fontId="0" fillId="2" borderId="0" xfId="0" applyNumberFormat="1" applyFill="1" applyBorder="1" applyAlignment="1">
      <alignment wrapText="1"/>
    </xf>
    <xf numFmtId="3" fontId="9" fillId="2" borderId="0" xfId="0" applyNumberFormat="1" applyFont="1" applyFill="1" applyAlignment="1">
      <alignment wrapText="1"/>
    </xf>
    <xf numFmtId="3" fontId="20" fillId="2" borderId="0" xfId="0" applyNumberFormat="1" applyFont="1" applyFill="1" applyAlignment="1">
      <alignment vertical="center" wrapText="1"/>
    </xf>
    <xf numFmtId="164" fontId="12" fillId="4" borderId="1" xfId="5" applyNumberFormat="1" applyFont="1" applyFill="1" applyBorder="1" applyAlignment="1">
      <alignment horizontal="center" vertical="center" wrapText="1"/>
    </xf>
    <xf numFmtId="164" fontId="13" fillId="5" borderId="1" xfId="5" applyNumberFormat="1" applyFont="1" applyFill="1" applyBorder="1" applyAlignment="1">
      <alignment horizontal="center" vertical="center" wrapText="1"/>
    </xf>
    <xf numFmtId="164" fontId="11" fillId="3" borderId="1" xfId="5" applyNumberFormat="1" applyFont="1" applyFill="1" applyBorder="1" applyAlignment="1">
      <alignment horizontal="center" vertical="center" wrapText="1"/>
    </xf>
    <xf numFmtId="164" fontId="12" fillId="0" borderId="1" xfId="5" applyNumberFormat="1" applyFont="1" applyFill="1" applyBorder="1" applyAlignment="1">
      <alignment horizontal="center" vertical="center" wrapText="1"/>
    </xf>
    <xf numFmtId="164" fontId="12" fillId="9" borderId="1" xfId="5" applyNumberFormat="1" applyFont="1" applyFill="1" applyBorder="1" applyAlignment="1">
      <alignment horizontal="center" vertical="center" wrapText="1"/>
    </xf>
    <xf numFmtId="164" fontId="14" fillId="9" borderId="1" xfId="5" applyNumberFormat="1" applyFont="1" applyFill="1" applyBorder="1" applyAlignment="1">
      <alignment horizontal="center" vertical="center" wrapText="1"/>
    </xf>
    <xf numFmtId="164" fontId="8" fillId="9" borderId="1" xfId="5" applyNumberFormat="1" applyFont="1" applyFill="1" applyBorder="1" applyAlignment="1">
      <alignment horizontal="center" vertical="center" wrapText="1"/>
    </xf>
    <xf numFmtId="164" fontId="13" fillId="3" borderId="1" xfId="5" applyNumberFormat="1" applyFont="1" applyFill="1" applyBorder="1" applyAlignment="1">
      <alignment horizontal="center" vertical="center" wrapText="1"/>
    </xf>
    <xf numFmtId="0" fontId="8" fillId="10" borderId="41" xfId="0" applyFont="1" applyFill="1" applyBorder="1" applyAlignment="1">
      <alignment horizontal="left" vertical="center"/>
    </xf>
    <xf numFmtId="165" fontId="8" fillId="10" borderId="41" xfId="0" applyNumberFormat="1" applyFont="1" applyFill="1" applyBorder="1" applyAlignment="1">
      <alignment horizontal="center" vertical="center"/>
    </xf>
    <xf numFmtId="0" fontId="8" fillId="10" borderId="41" xfId="0" applyFont="1" applyFill="1" applyBorder="1" applyAlignment="1">
      <alignment horizontal="center" vertical="center"/>
    </xf>
    <xf numFmtId="164" fontId="13" fillId="4" borderId="1" xfId="5" applyNumberFormat="1" applyFont="1" applyFill="1" applyBorder="1" applyAlignment="1">
      <alignment horizontal="center" vertical="center" wrapText="1"/>
    </xf>
    <xf numFmtId="164" fontId="13" fillId="0" borderId="1" xfId="5" applyNumberFormat="1" applyFont="1" applyFill="1" applyBorder="1" applyAlignment="1">
      <alignment horizontal="center" vertical="center" wrapText="1"/>
    </xf>
    <xf numFmtId="164" fontId="13" fillId="0" borderId="7" xfId="5" applyNumberFormat="1"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49" fontId="18" fillId="11" borderId="37" xfId="0" applyNumberFormat="1" applyFont="1" applyFill="1" applyBorder="1" applyAlignment="1">
      <alignment horizontal="left" vertical="center" wrapText="1"/>
    </xf>
    <xf numFmtId="49" fontId="25" fillId="11" borderId="33" xfId="0" applyNumberFormat="1" applyFont="1" applyFill="1" applyBorder="1" applyAlignment="1">
      <alignment horizontal="center" vertical="center" wrapText="1"/>
    </xf>
    <xf numFmtId="3" fontId="18" fillId="11" borderId="33" xfId="0" applyNumberFormat="1" applyFont="1" applyFill="1" applyBorder="1" applyAlignment="1">
      <alignment horizontal="center" vertical="center" wrapText="1"/>
    </xf>
    <xf numFmtId="3" fontId="18" fillId="11" borderId="8" xfId="0" applyNumberFormat="1" applyFont="1" applyFill="1" applyBorder="1" applyAlignment="1">
      <alignment horizontal="center" vertical="center" wrapText="1"/>
    </xf>
    <xf numFmtId="3" fontId="18" fillId="11" borderId="1" xfId="0" applyNumberFormat="1" applyFont="1" applyFill="1" applyBorder="1" applyAlignment="1">
      <alignment horizontal="center" vertical="center" wrapText="1"/>
    </xf>
    <xf numFmtId="3" fontId="18" fillId="11" borderId="7" xfId="0" applyNumberFormat="1" applyFont="1" applyFill="1" applyBorder="1" applyAlignment="1">
      <alignment horizontal="center" vertical="center" wrapText="1"/>
    </xf>
    <xf numFmtId="164" fontId="13" fillId="11" borderId="1" xfId="5" applyNumberFormat="1" applyFont="1" applyFill="1" applyBorder="1" applyAlignment="1">
      <alignment horizontal="center" vertical="center" wrapText="1"/>
    </xf>
    <xf numFmtId="164" fontId="12" fillId="11" borderId="1" xfId="5" applyNumberFormat="1" applyFont="1" applyFill="1" applyBorder="1" applyAlignment="1">
      <alignment horizontal="center" vertical="center" wrapText="1"/>
    </xf>
    <xf numFmtId="49" fontId="28" fillId="11" borderId="6" xfId="0" applyNumberFormat="1" applyFont="1" applyFill="1" applyBorder="1" applyAlignment="1">
      <alignment horizontal="center" vertical="center" wrapText="1"/>
    </xf>
    <xf numFmtId="49" fontId="9" fillId="4" borderId="6"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36" xfId="0" applyNumberFormat="1" applyFont="1" applyFill="1" applyBorder="1" applyAlignment="1">
      <alignment horizontal="center" vertical="center" wrapText="1"/>
    </xf>
    <xf numFmtId="49" fontId="9" fillId="11" borderId="6"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49" fontId="25" fillId="4"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3" borderId="1" xfId="11" applyFont="1" applyFill="1" applyBorder="1" applyAlignment="1">
      <alignment horizontal="left" vertical="center" wrapText="1"/>
    </xf>
    <xf numFmtId="49" fontId="9" fillId="3" borderId="1" xfId="12" applyNumberFormat="1" applyFont="1" applyFill="1" applyBorder="1" applyAlignment="1">
      <alignment horizontal="center" vertical="center" wrapText="1"/>
    </xf>
    <xf numFmtId="0" fontId="9" fillId="0" borderId="1" xfId="11" applyFont="1" applyFill="1" applyBorder="1" applyAlignment="1">
      <alignment horizontal="left" vertical="center" wrapText="1"/>
    </xf>
    <xf numFmtId="49" fontId="9" fillId="11" borderId="1" xfId="0" applyNumberFormat="1" applyFont="1" applyFill="1" applyBorder="1" applyAlignment="1">
      <alignment horizontal="center" vertical="center" wrapText="1"/>
    </xf>
    <xf numFmtId="49" fontId="18" fillId="11" borderId="1" xfId="0" applyNumberFormat="1" applyFont="1" applyFill="1" applyBorder="1" applyAlignment="1">
      <alignment horizontal="left" vertical="center" wrapText="1"/>
    </xf>
    <xf numFmtId="49" fontId="25" fillId="11"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49" fontId="28" fillId="9" borderId="1" xfId="0" applyNumberFormat="1" applyFont="1" applyFill="1" applyBorder="1" applyAlignment="1">
      <alignment horizontal="center" vertical="center" wrapText="1"/>
    </xf>
    <xf numFmtId="0" fontId="18" fillId="9" borderId="1" xfId="0" applyFont="1" applyFill="1" applyBorder="1" applyAlignment="1">
      <alignment horizontal="right" vertical="center" wrapText="1"/>
    </xf>
    <xf numFmtId="0" fontId="18" fillId="9" borderId="1"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10" borderId="12" xfId="0" applyFont="1" applyFill="1" applyBorder="1" applyAlignment="1">
      <alignment horizontal="left" vertical="center"/>
    </xf>
    <xf numFmtId="3" fontId="12" fillId="0" borderId="19" xfId="0" applyNumberFormat="1" applyFont="1" applyBorder="1" applyAlignment="1" applyProtection="1">
      <alignment horizontal="center" vertical="center" wrapText="1"/>
      <protection locked="0"/>
    </xf>
    <xf numFmtId="3" fontId="12" fillId="0" borderId="24" xfId="0" applyNumberFormat="1" applyFont="1" applyBorder="1" applyAlignment="1">
      <alignment horizontal="center" vertical="center" wrapText="1"/>
    </xf>
    <xf numFmtId="4" fontId="8" fillId="10" borderId="12" xfId="0" applyNumberFormat="1" applyFont="1" applyFill="1" applyBorder="1" applyAlignment="1">
      <alignment horizontal="left" vertical="center"/>
    </xf>
    <xf numFmtId="4" fontId="8" fillId="10" borderId="12" xfId="0" applyNumberFormat="1" applyFont="1" applyFill="1" applyBorder="1" applyAlignment="1">
      <alignment horizontal="center" vertical="center"/>
    </xf>
    <xf numFmtId="4" fontId="8" fillId="9" borderId="1" xfId="5" applyNumberFormat="1" applyFont="1" applyFill="1" applyBorder="1" applyAlignment="1">
      <alignment horizontal="center" vertical="center" wrapText="1"/>
    </xf>
    <xf numFmtId="4" fontId="25" fillId="4" borderId="1" xfId="5" applyNumberFormat="1" applyFont="1" applyFill="1" applyBorder="1" applyAlignment="1">
      <alignment horizontal="center" vertical="center" wrapText="1"/>
    </xf>
    <xf numFmtId="4" fontId="8" fillId="4" borderId="1" xfId="5" applyNumberFormat="1" applyFont="1" applyFill="1" applyBorder="1" applyAlignment="1">
      <alignment horizontal="center" vertical="center" wrapText="1"/>
    </xf>
    <xf numFmtId="4" fontId="9" fillId="3" borderId="1" xfId="5" applyNumberFormat="1" applyFont="1" applyFill="1" applyBorder="1" applyAlignment="1">
      <alignment horizontal="center" vertical="center" wrapText="1"/>
    </xf>
    <xf numFmtId="4" fontId="25" fillId="0" borderId="1" xfId="5" applyNumberFormat="1" applyFont="1" applyFill="1" applyBorder="1" applyAlignment="1">
      <alignment horizontal="center" vertical="center" wrapText="1"/>
    </xf>
    <xf numFmtId="4" fontId="25" fillId="11" borderId="1" xfId="5" applyNumberFormat="1" applyFont="1" applyFill="1" applyBorder="1" applyAlignment="1">
      <alignment horizontal="center" vertical="center" wrapText="1"/>
    </xf>
    <xf numFmtId="4" fontId="8" fillId="11" borderId="1" xfId="5" applyNumberFormat="1" applyFont="1" applyFill="1" applyBorder="1" applyAlignment="1">
      <alignment horizontal="center" vertical="center" wrapText="1"/>
    </xf>
    <xf numFmtId="4" fontId="18" fillId="9" borderId="1" xfId="5" applyNumberFormat="1" applyFont="1" applyFill="1" applyBorder="1" applyAlignment="1">
      <alignment horizontal="center" vertical="center" wrapText="1"/>
    </xf>
    <xf numFmtId="4" fontId="8" fillId="0" borderId="1" xfId="5"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 fontId="27" fillId="5" borderId="7" xfId="21" applyNumberFormat="1" applyFont="1" applyFill="1" applyBorder="1" applyAlignment="1">
      <alignment horizontal="center" vertical="center" wrapText="1"/>
    </xf>
    <xf numFmtId="4" fontId="27" fillId="5" borderId="8" xfId="21" applyNumberFormat="1" applyFont="1" applyFill="1" applyBorder="1" applyAlignment="1">
      <alignment horizontal="center" vertical="center" wrapText="1"/>
    </xf>
    <xf numFmtId="4" fontId="27" fillId="5" borderId="10" xfId="21" applyNumberFormat="1" applyFont="1" applyFill="1" applyBorder="1" applyAlignment="1">
      <alignment horizontal="center" vertical="center" wrapText="1"/>
    </xf>
    <xf numFmtId="4" fontId="27" fillId="0" borderId="7" xfId="21" applyNumberFormat="1" applyFont="1" applyBorder="1" applyAlignment="1">
      <alignment horizontal="left" wrapText="1"/>
    </xf>
    <xf numFmtId="4" fontId="27" fillId="0" borderId="10" xfId="21" applyNumberFormat="1" applyFont="1" applyBorder="1" applyAlignment="1">
      <alignment horizontal="left" wrapText="1"/>
    </xf>
    <xf numFmtId="4" fontId="27" fillId="0" borderId="7" xfId="21" applyNumberFormat="1" applyFont="1" applyBorder="1" applyAlignment="1">
      <alignment horizontal="left" vertical="center" wrapText="1"/>
    </xf>
    <xf numFmtId="4" fontId="27" fillId="0" borderId="10" xfId="21" applyNumberFormat="1" applyFont="1" applyBorder="1" applyAlignment="1">
      <alignment horizontal="left" vertical="center" wrapText="1"/>
    </xf>
    <xf numFmtId="4" fontId="27" fillId="0" borderId="7" xfId="21" applyNumberFormat="1" applyFont="1" applyBorder="1" applyAlignment="1">
      <alignment horizontal="center" vertical="center" wrapText="1"/>
    </xf>
    <xf numFmtId="4" fontId="27" fillId="0" borderId="8" xfId="21" applyNumberFormat="1" applyFont="1" applyBorder="1" applyAlignment="1">
      <alignment horizontal="center" vertical="center" wrapText="1"/>
    </xf>
    <xf numFmtId="4" fontId="27" fillId="0" borderId="10" xfId="21" applyNumberFormat="1" applyFont="1" applyBorder="1" applyAlignment="1">
      <alignment horizontal="center" vertical="center" wrapText="1"/>
    </xf>
    <xf numFmtId="4" fontId="27" fillId="0" borderId="7" xfId="21" applyNumberFormat="1" applyFont="1" applyBorder="1" applyAlignment="1">
      <alignment horizontal="right" wrapText="1"/>
    </xf>
    <xf numFmtId="4" fontId="27" fillId="0" borderId="10" xfId="21" applyNumberFormat="1" applyFont="1" applyBorder="1" applyAlignment="1">
      <alignment horizontal="right" wrapText="1"/>
    </xf>
    <xf numFmtId="4" fontId="27" fillId="0" borderId="7" xfId="6" applyNumberFormat="1" applyFont="1" applyBorder="1" applyAlignment="1">
      <alignment horizontal="left" wrapText="1"/>
    </xf>
    <xf numFmtId="4" fontId="27" fillId="0" borderId="8" xfId="6" applyNumberFormat="1" applyFont="1" applyBorder="1" applyAlignment="1">
      <alignment horizontal="left" wrapText="1"/>
    </xf>
    <xf numFmtId="4" fontId="27" fillId="0" borderId="10" xfId="6" applyNumberFormat="1" applyFont="1" applyBorder="1" applyAlignment="1">
      <alignment horizontal="left" wrapText="1"/>
    </xf>
    <xf numFmtId="3" fontId="27" fillId="5" borderId="7" xfId="6" applyNumberFormat="1" applyFont="1" applyFill="1" applyBorder="1" applyAlignment="1">
      <alignment horizontal="center" vertical="center" wrapText="1"/>
    </xf>
    <xf numFmtId="3" fontId="27" fillId="5" borderId="8" xfId="6" applyNumberFormat="1" applyFont="1" applyFill="1" applyBorder="1" applyAlignment="1">
      <alignment horizontal="center" vertical="center" wrapText="1"/>
    </xf>
    <xf numFmtId="3" fontId="27" fillId="5" borderId="10" xfId="6" applyNumberFormat="1" applyFont="1" applyFill="1" applyBorder="1" applyAlignment="1">
      <alignment horizontal="center" vertical="center" wrapText="1"/>
    </xf>
    <xf numFmtId="4" fontId="22" fillId="0" borderId="0" xfId="10" applyNumberFormat="1" applyFont="1" applyAlignment="1">
      <alignment horizontal="left" vertical="center" wrapText="1"/>
    </xf>
    <xf numFmtId="49" fontId="20" fillId="2" borderId="0" xfId="0" applyNumberFormat="1" applyFont="1" applyFill="1" applyAlignment="1">
      <alignment horizontal="left" wrapText="1"/>
    </xf>
    <xf numFmtId="0" fontId="22" fillId="0" borderId="0" xfId="21" applyFont="1" applyAlignment="1">
      <alignment horizontal="left" vertical="center" wrapText="1"/>
    </xf>
    <xf numFmtId="49" fontId="18" fillId="2" borderId="0" xfId="0" applyNumberFormat="1" applyFont="1" applyFill="1" applyAlignment="1">
      <alignment horizontal="left" wrapText="1"/>
    </xf>
    <xf numFmtId="49" fontId="21" fillId="2" borderId="0" xfId="0" applyNumberFormat="1" applyFont="1" applyFill="1" applyAlignment="1">
      <alignment horizontal="left" wrapText="1"/>
    </xf>
    <xf numFmtId="0" fontId="11" fillId="0" borderId="7" xfId="0" applyNumberFormat="1" applyFont="1" applyFill="1" applyBorder="1" applyAlignment="1" applyProtection="1">
      <alignment horizontal="left" vertical="center" wrapText="1" shrinkToFit="1"/>
    </xf>
    <xf numFmtId="0" fontId="11" fillId="0" borderId="8" xfId="0" applyNumberFormat="1" applyFont="1" applyFill="1" applyBorder="1" applyAlignment="1" applyProtection="1">
      <alignment horizontal="left" vertical="center" wrapText="1" shrinkToFit="1"/>
    </xf>
    <xf numFmtId="3" fontId="27" fillId="0" borderId="7" xfId="6" applyNumberFormat="1" applyFont="1" applyFill="1" applyBorder="1" applyAlignment="1">
      <alignment horizontal="center" vertical="center" wrapText="1"/>
    </xf>
    <xf numFmtId="3" fontId="27" fillId="0" borderId="8" xfId="6" applyNumberFormat="1" applyFont="1" applyFill="1" applyBorder="1" applyAlignment="1">
      <alignment horizontal="center" vertical="center" wrapText="1"/>
    </xf>
    <xf numFmtId="3" fontId="27" fillId="0" borderId="10" xfId="6" applyNumberFormat="1" applyFont="1" applyFill="1" applyBorder="1" applyAlignment="1">
      <alignment horizontal="center" vertical="center" wrapText="1"/>
    </xf>
    <xf numFmtId="4" fontId="27" fillId="0" borderId="7" xfId="6" applyNumberFormat="1" applyFont="1" applyBorder="1" applyAlignment="1">
      <alignment horizontal="right" wrapText="1"/>
    </xf>
    <xf numFmtId="4" fontId="27" fillId="0" borderId="8" xfId="6" applyNumberFormat="1" applyFont="1" applyBorder="1" applyAlignment="1">
      <alignment horizontal="right" wrapText="1"/>
    </xf>
    <xf numFmtId="4" fontId="27" fillId="0" borderId="10" xfId="6" applyNumberFormat="1" applyFont="1" applyBorder="1" applyAlignment="1">
      <alignment horizontal="right" wrapText="1"/>
    </xf>
    <xf numFmtId="0" fontId="11" fillId="0" borderId="13" xfId="0" applyNumberFormat="1" applyFont="1" applyFill="1" applyBorder="1" applyAlignment="1" applyProtection="1">
      <alignment horizontal="left" vertical="center" wrapText="1" shrinkToFit="1"/>
    </xf>
    <xf numFmtId="0" fontId="11" fillId="0" borderId="11" xfId="0" applyNumberFormat="1" applyFont="1" applyFill="1" applyBorder="1" applyAlignment="1" applyProtection="1">
      <alignment horizontal="left" vertical="center" wrapText="1" shrinkToFit="1"/>
    </xf>
    <xf numFmtId="0" fontId="11" fillId="3" borderId="7" xfId="0" applyNumberFormat="1" applyFont="1" applyFill="1" applyBorder="1" applyAlignment="1" applyProtection="1">
      <alignment horizontal="left" vertical="center" wrapText="1" shrinkToFit="1"/>
    </xf>
    <xf numFmtId="0" fontId="11" fillId="3" borderId="8" xfId="0" applyNumberFormat="1" applyFont="1" applyFill="1" applyBorder="1" applyAlignment="1" applyProtection="1">
      <alignment horizontal="left" vertical="center" wrapText="1" shrinkToFit="1"/>
    </xf>
    <xf numFmtId="4" fontId="12" fillId="0" borderId="9" xfId="0" applyNumberFormat="1" applyFont="1" applyBorder="1" applyAlignment="1" applyProtection="1">
      <alignment horizontal="center" vertical="center" wrapText="1"/>
      <protection locked="0"/>
    </xf>
    <xf numFmtId="4" fontId="12" fillId="0" borderId="22" xfId="0" applyNumberFormat="1" applyFont="1" applyBorder="1" applyAlignment="1" applyProtection="1">
      <alignment horizontal="center" vertical="center" wrapText="1"/>
      <protection locked="0"/>
    </xf>
    <xf numFmtId="4" fontId="12" fillId="0" borderId="2" xfId="0" applyNumberFormat="1" applyFont="1" applyBorder="1" applyAlignment="1" applyProtection="1">
      <alignment horizontal="center" vertical="center" wrapText="1"/>
      <protection locked="0"/>
    </xf>
    <xf numFmtId="4" fontId="12" fillId="0" borderId="23" xfId="0" applyNumberFormat="1" applyFont="1" applyBorder="1" applyAlignment="1" applyProtection="1">
      <alignment horizontal="center" vertical="center" wrapText="1"/>
      <protection locked="0"/>
    </xf>
    <xf numFmtId="4" fontId="14" fillId="0" borderId="34" xfId="0" applyNumberFormat="1" applyFont="1" applyBorder="1" applyAlignment="1" applyProtection="1">
      <alignment horizontal="center" vertical="center" wrapText="1"/>
      <protection locked="0"/>
    </xf>
    <xf numFmtId="4" fontId="14" fillId="0" borderId="35" xfId="0" applyNumberFormat="1" applyFont="1" applyBorder="1" applyAlignment="1" applyProtection="1">
      <alignment horizontal="center" vertical="center" wrapText="1"/>
      <protection locked="0"/>
    </xf>
    <xf numFmtId="4" fontId="12" fillId="0" borderId="30" xfId="0" applyNumberFormat="1" applyFont="1" applyBorder="1" applyAlignment="1" applyProtection="1">
      <alignment horizontal="center" vertical="center" wrapText="1"/>
      <protection locked="0"/>
    </xf>
    <xf numFmtId="4" fontId="12" fillId="0" borderId="31" xfId="0" applyNumberFormat="1" applyFont="1" applyBorder="1" applyAlignment="1" applyProtection="1">
      <alignment horizontal="center" vertical="center" wrapText="1"/>
      <protection locked="0"/>
    </xf>
    <xf numFmtId="3" fontId="14" fillId="0" borderId="30" xfId="0" applyNumberFormat="1" applyFont="1" applyBorder="1" applyAlignment="1" applyProtection="1">
      <alignment horizontal="center" vertical="center" wrapText="1"/>
      <protection locked="0"/>
    </xf>
    <xf numFmtId="3" fontId="14" fillId="0" borderId="31" xfId="0" applyNumberFormat="1" applyFont="1" applyBorder="1" applyAlignment="1" applyProtection="1">
      <alignment horizontal="center" vertical="center" wrapText="1"/>
      <protection locked="0"/>
    </xf>
    <xf numFmtId="4" fontId="0" fillId="0" borderId="0" xfId="0" applyNumberFormat="1" applyAlignment="1">
      <alignment horizontal="left" wrapText="1"/>
    </xf>
    <xf numFmtId="4" fontId="17" fillId="0" borderId="0" xfId="0" applyNumberFormat="1" applyFont="1" applyAlignment="1">
      <alignment horizontal="center" vertical="center" wrapText="1"/>
    </xf>
    <xf numFmtId="4" fontId="9" fillId="8" borderId="16" xfId="0" applyNumberFormat="1" applyFont="1" applyFill="1" applyBorder="1" applyAlignment="1">
      <alignment horizontal="left" vertical="center" wrapText="1"/>
    </xf>
    <xf numFmtId="4" fontId="9" fillId="8" borderId="17" xfId="0" applyNumberFormat="1" applyFont="1" applyFill="1" applyBorder="1" applyAlignment="1">
      <alignment horizontal="left" vertical="center" wrapText="1"/>
    </xf>
    <xf numFmtId="3" fontId="9" fillId="5" borderId="39" xfId="0" applyNumberFormat="1" applyFont="1" applyFill="1" applyBorder="1" applyAlignment="1">
      <alignment horizontal="center" vertical="center" wrapText="1"/>
    </xf>
    <xf numFmtId="3" fontId="9" fillId="5" borderId="25" xfId="0" applyNumberFormat="1" applyFont="1" applyFill="1" applyBorder="1" applyAlignment="1">
      <alignment horizontal="center" vertical="center" wrapText="1"/>
    </xf>
    <xf numFmtId="3" fontId="9" fillId="5" borderId="26" xfId="0" applyNumberFormat="1" applyFont="1" applyFill="1" applyBorder="1" applyAlignment="1">
      <alignment horizontal="center" vertical="center" wrapText="1"/>
    </xf>
    <xf numFmtId="4" fontId="9" fillId="5" borderId="1" xfId="0" applyNumberFormat="1" applyFont="1" applyFill="1" applyBorder="1" applyAlignment="1">
      <alignment horizontal="center" wrapText="1"/>
    </xf>
    <xf numFmtId="4" fontId="9" fillId="8" borderId="6" xfId="0" applyNumberFormat="1" applyFont="1" applyFill="1" applyBorder="1" applyAlignment="1">
      <alignment horizontal="left" vertical="center" wrapText="1"/>
    </xf>
    <xf numFmtId="4" fontId="9" fillId="8" borderId="1" xfId="0" applyNumberFormat="1" applyFont="1" applyFill="1" applyBorder="1" applyAlignment="1">
      <alignment horizontal="left" vertical="center" wrapText="1"/>
    </xf>
    <xf numFmtId="3" fontId="9" fillId="5" borderId="1"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3" fontId="12" fillId="0" borderId="4" xfId="0" applyNumberFormat="1" applyFont="1" applyBorder="1" applyAlignment="1" applyProtection="1">
      <alignment horizontal="center" vertical="center" wrapText="1"/>
      <protection locked="0"/>
    </xf>
    <xf numFmtId="3" fontId="12" fillId="0" borderId="5" xfId="0" applyNumberFormat="1" applyFont="1" applyBorder="1" applyAlignment="1" applyProtection="1">
      <alignment horizontal="center" vertical="center" wrapText="1"/>
      <protection locked="0"/>
    </xf>
    <xf numFmtId="3" fontId="12" fillId="0" borderId="3"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9" fillId="0" borderId="0" xfId="0" applyNumberFormat="1" applyFont="1" applyFill="1" applyBorder="1" applyAlignment="1">
      <alignment horizontal="center" vertical="center" wrapText="1"/>
    </xf>
    <xf numFmtId="3" fontId="9" fillId="0" borderId="40" xfId="0" applyNumberFormat="1" applyFont="1" applyFill="1" applyBorder="1" applyAlignment="1">
      <alignment horizontal="center" vertical="center" wrapText="1"/>
    </xf>
    <xf numFmtId="3" fontId="14" fillId="0" borderId="28" xfId="0" applyNumberFormat="1" applyFont="1" applyBorder="1" applyAlignment="1" applyProtection="1">
      <alignment horizontal="center" vertical="center" wrapText="1"/>
      <protection locked="0"/>
    </xf>
    <xf numFmtId="3" fontId="14" fillId="0" borderId="29" xfId="0" applyNumberFormat="1" applyFont="1" applyBorder="1" applyAlignment="1" applyProtection="1">
      <alignment horizontal="center" vertical="center" wrapText="1"/>
      <protection locked="0"/>
    </xf>
    <xf numFmtId="3" fontId="14" fillId="0" borderId="9" xfId="0" applyNumberFormat="1" applyFont="1" applyBorder="1" applyAlignment="1" applyProtection="1">
      <alignment horizontal="center" vertical="center" wrapText="1"/>
      <protection locked="0"/>
    </xf>
    <xf numFmtId="3" fontId="14" fillId="0" borderId="22" xfId="0" applyNumberFormat="1" applyFont="1" applyBorder="1" applyAlignment="1" applyProtection="1">
      <alignment horizontal="center" vertical="center" wrapText="1"/>
      <protection locked="0"/>
    </xf>
    <xf numFmtId="4" fontId="9" fillId="8" borderId="18" xfId="0" applyNumberFormat="1" applyFont="1" applyFill="1" applyBorder="1" applyAlignment="1">
      <alignment horizontal="left" vertical="center" wrapText="1"/>
    </xf>
    <xf numFmtId="4" fontId="9" fillId="8" borderId="19" xfId="0" applyNumberFormat="1" applyFont="1" applyFill="1" applyBorder="1" applyAlignment="1">
      <alignment horizontal="left" vertical="center" wrapText="1"/>
    </xf>
    <xf numFmtId="3" fontId="9" fillId="5" borderId="19" xfId="0" applyNumberFormat="1" applyFont="1" applyFill="1" applyBorder="1" applyAlignment="1">
      <alignment horizontal="center" vertical="center" wrapText="1"/>
    </xf>
    <xf numFmtId="3" fontId="9" fillId="5" borderId="24" xfId="0" applyNumberFormat="1" applyFont="1" applyFill="1" applyBorder="1" applyAlignment="1">
      <alignment horizontal="center" vertical="center" wrapText="1"/>
    </xf>
    <xf numFmtId="4" fontId="12" fillId="0" borderId="49" xfId="0" applyNumberFormat="1" applyFont="1" applyBorder="1" applyAlignment="1" applyProtection="1">
      <alignment horizontal="center" vertical="center" wrapText="1"/>
      <protection locked="0"/>
    </xf>
    <xf numFmtId="4" fontId="12" fillId="0" borderId="38" xfId="0" applyNumberFormat="1" applyFont="1" applyBorder="1" applyAlignment="1" applyProtection="1">
      <alignment horizontal="center" vertical="center" wrapText="1"/>
      <protection locked="0"/>
    </xf>
    <xf numFmtId="4" fontId="14" fillId="0" borderId="49" xfId="0" applyNumberFormat="1" applyFont="1" applyBorder="1" applyAlignment="1" applyProtection="1">
      <alignment horizontal="center" vertical="center" wrapText="1"/>
      <protection locked="0"/>
    </xf>
    <xf numFmtId="4" fontId="14" fillId="0" borderId="38" xfId="0" applyNumberFormat="1" applyFont="1" applyBorder="1" applyAlignment="1" applyProtection="1">
      <alignment horizontal="center" vertical="center" wrapText="1"/>
      <protection locked="0"/>
    </xf>
    <xf numFmtId="4" fontId="12" fillId="0" borderId="4" xfId="0" applyNumberFormat="1" applyFont="1" applyBorder="1" applyAlignment="1" applyProtection="1">
      <alignment horizontal="center" vertical="center" wrapText="1"/>
      <protection locked="0"/>
    </xf>
    <xf numFmtId="4" fontId="12" fillId="0" borderId="48" xfId="0" applyNumberFormat="1" applyFont="1" applyBorder="1" applyAlignment="1" applyProtection="1">
      <alignment horizontal="center" vertical="center" wrapText="1"/>
      <protection locked="0"/>
    </xf>
    <xf numFmtId="3" fontId="14" fillId="0" borderId="49" xfId="0" applyNumberFormat="1" applyFont="1" applyBorder="1" applyAlignment="1" applyProtection="1">
      <alignment horizontal="center" vertical="center" wrapText="1"/>
      <protection locked="0"/>
    </xf>
    <xf numFmtId="3" fontId="14" fillId="0" borderId="38" xfId="0" applyNumberFormat="1" applyFont="1" applyBorder="1" applyAlignment="1" applyProtection="1">
      <alignment horizontal="center" vertical="center" wrapText="1"/>
      <protection locked="0"/>
    </xf>
    <xf numFmtId="3" fontId="14" fillId="0" borderId="3" xfId="0" applyNumberFormat="1" applyFont="1" applyBorder="1" applyAlignment="1" applyProtection="1">
      <alignment horizontal="center" vertical="center" wrapText="1"/>
      <protection locked="0"/>
    </xf>
    <xf numFmtId="3" fontId="14" fillId="0" borderId="46" xfId="0" applyNumberFormat="1" applyFont="1" applyBorder="1" applyAlignment="1" applyProtection="1">
      <alignment horizontal="center" vertical="center" wrapText="1"/>
      <protection locked="0"/>
    </xf>
    <xf numFmtId="3" fontId="12" fillId="0" borderId="16" xfId="0" applyNumberFormat="1" applyFont="1" applyBorder="1" applyAlignment="1" applyProtection="1">
      <alignment horizontal="center" vertical="center" wrapText="1"/>
      <protection locked="0"/>
    </xf>
    <xf numFmtId="3" fontId="12" fillId="0" borderId="17" xfId="0" applyNumberFormat="1" applyFont="1" applyBorder="1" applyAlignment="1" applyProtection="1">
      <alignment horizontal="center" vertical="center" wrapText="1"/>
      <protection locked="0"/>
    </xf>
    <xf numFmtId="3" fontId="12" fillId="0" borderId="47" xfId="0" applyNumberFormat="1" applyFont="1" applyBorder="1" applyAlignment="1" applyProtection="1">
      <alignment horizontal="center" vertical="center" wrapText="1"/>
      <protection locked="0"/>
    </xf>
    <xf numFmtId="3" fontId="12" fillId="0" borderId="16" xfId="0" applyNumberFormat="1" applyFont="1" applyBorder="1" applyAlignment="1">
      <alignment horizontal="center" vertical="center" wrapText="1"/>
    </xf>
    <xf numFmtId="3" fontId="12" fillId="0" borderId="17" xfId="0" applyNumberFormat="1" applyFont="1" applyBorder="1" applyAlignment="1">
      <alignment horizontal="center" vertical="center" wrapText="1"/>
    </xf>
    <xf numFmtId="3" fontId="12" fillId="0" borderId="45" xfId="0" applyNumberFormat="1" applyFont="1" applyBorder="1" applyAlignment="1">
      <alignment horizontal="center" vertical="center" wrapText="1"/>
    </xf>
    <xf numFmtId="4" fontId="9" fillId="8" borderId="42" xfId="0" applyNumberFormat="1" applyFont="1" applyFill="1" applyBorder="1" applyAlignment="1">
      <alignment horizontal="left" vertical="center" wrapText="1"/>
    </xf>
    <xf numFmtId="4" fontId="9" fillId="8" borderId="43" xfId="0" applyNumberFormat="1" applyFont="1" applyFill="1" applyBorder="1" applyAlignment="1">
      <alignment horizontal="left" vertical="center" wrapText="1"/>
    </xf>
    <xf numFmtId="3" fontId="9" fillId="5" borderId="43" xfId="0" applyNumberFormat="1" applyFont="1" applyFill="1" applyBorder="1" applyAlignment="1">
      <alignment horizontal="center" vertical="center" wrapText="1"/>
    </xf>
    <xf numFmtId="3" fontId="9" fillId="5" borderId="44" xfId="0" applyNumberFormat="1" applyFont="1" applyFill="1" applyBorder="1" applyAlignment="1">
      <alignment horizontal="center" vertical="center" wrapText="1"/>
    </xf>
  </cellXfs>
  <cellStyles count="22">
    <cellStyle name="Обычный" xfId="0" builtinId="0"/>
    <cellStyle name="Обычный 2" xfId="1"/>
    <cellStyle name="Обычный 2 3 2" xfId="12"/>
    <cellStyle name="Обычный 3" xfId="3"/>
    <cellStyle name="Обычный 3 2" xfId="6"/>
    <cellStyle name="Обычный 3 2 2" xfId="10"/>
    <cellStyle name="Обычный 3 2 2 2" xfId="13"/>
    <cellStyle name="Обычный 3 2 2 2 2" xfId="20"/>
    <cellStyle name="Обычный 3 2 2 2 3" xfId="21"/>
    <cellStyle name="Обычный 3 2 2 3" xfId="19"/>
    <cellStyle name="Обычный 3 2 3" xfId="16"/>
    <cellStyle name="Обычный 3 3" xfId="7"/>
    <cellStyle name="Обычный 3 3 2" xfId="17"/>
    <cellStyle name="Обычный 3 4" xfId="14"/>
    <cellStyle name="Обычный 4" xfId="4"/>
    <cellStyle name="Обычный 4 2" xfId="8"/>
    <cellStyle name="Обычный 4 2 2" xfId="18"/>
    <cellStyle name="Обычный 4 3" xfId="15"/>
    <cellStyle name="Обычный 5 2" xfId="2"/>
    <cellStyle name="Обычный 7" xfId="11"/>
    <cellStyle name="Финансовый" xfId="5" builtinId="3"/>
    <cellStyle name="Финансовый 2" xfId="9"/>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8"/>
  <sheetViews>
    <sheetView view="pageBreakPreview" zoomScale="70" zoomScaleNormal="80" zoomScaleSheetLayoutView="70" workbookViewId="0">
      <selection activeCell="C39" sqref="C39"/>
    </sheetView>
  </sheetViews>
  <sheetFormatPr defaultColWidth="10.875" defaultRowHeight="15.75" outlineLevelRow="1" outlineLevelCol="1" x14ac:dyDescent="0.25"/>
  <cols>
    <col min="1" max="1" width="10.125" style="8" customWidth="1"/>
    <col min="2" max="2" width="7.875" style="2" customWidth="1"/>
    <col min="3" max="3" width="64.875" style="23" customWidth="1"/>
    <col min="4" max="4" width="7" style="1" bestFit="1" customWidth="1"/>
    <col min="5" max="5" width="13.125" style="62" customWidth="1"/>
    <col min="6" max="8" width="11.875" style="62" customWidth="1" outlineLevel="1"/>
    <col min="9" max="12" width="10.5" style="61" customWidth="1"/>
    <col min="13" max="16" width="14" style="61" customWidth="1"/>
    <col min="17" max="16384" width="10.875" style="8"/>
  </cols>
  <sheetData>
    <row r="1" spans="1:16" x14ac:dyDescent="0.25">
      <c r="A1" s="14"/>
      <c r="B1" s="15"/>
      <c r="C1" s="21"/>
      <c r="D1" s="16"/>
      <c r="E1" s="59"/>
      <c r="F1" s="59"/>
      <c r="G1" s="59"/>
      <c r="H1" s="59"/>
      <c r="I1" s="60"/>
      <c r="J1" s="60"/>
      <c r="K1" s="60"/>
      <c r="L1" s="60"/>
      <c r="M1" s="60"/>
      <c r="N1" s="60"/>
      <c r="O1" s="60"/>
    </row>
    <row r="2" spans="1:16" x14ac:dyDescent="0.25">
      <c r="A2" s="14"/>
      <c r="B2" s="15"/>
      <c r="C2" s="21"/>
      <c r="D2" s="16"/>
      <c r="E2" s="59"/>
      <c r="F2" s="59"/>
      <c r="G2" s="59"/>
      <c r="H2" s="59"/>
      <c r="I2" s="60"/>
      <c r="J2" s="60"/>
      <c r="K2" s="60"/>
      <c r="L2" s="60"/>
      <c r="M2" s="60"/>
      <c r="N2" s="60"/>
      <c r="O2" s="60"/>
    </row>
    <row r="3" spans="1:16" x14ac:dyDescent="0.25">
      <c r="A3" s="204" t="s">
        <v>36</v>
      </c>
      <c r="B3" s="204"/>
      <c r="C3" s="204"/>
      <c r="D3" s="204"/>
      <c r="E3" s="204"/>
      <c r="F3" s="204"/>
      <c r="G3" s="204"/>
      <c r="H3" s="204"/>
      <c r="I3" s="204"/>
      <c r="J3" s="204"/>
      <c r="K3" s="204"/>
      <c r="L3" s="60"/>
      <c r="M3" s="60"/>
      <c r="N3" s="60"/>
      <c r="O3" s="60"/>
    </row>
    <row r="4" spans="1:16" x14ac:dyDescent="0.25">
      <c r="A4" s="204" t="s">
        <v>108</v>
      </c>
      <c r="B4" s="204"/>
      <c r="C4" s="204"/>
      <c r="D4" s="204"/>
      <c r="E4" s="204"/>
      <c r="F4" s="204"/>
      <c r="G4" s="204"/>
      <c r="H4" s="204"/>
      <c r="I4" s="204"/>
      <c r="J4" s="204"/>
      <c r="K4" s="204"/>
      <c r="L4" s="60"/>
      <c r="M4" s="60"/>
      <c r="N4" s="60"/>
      <c r="O4" s="60"/>
    </row>
    <row r="5" spans="1:16" x14ac:dyDescent="0.25">
      <c r="A5" s="14"/>
      <c r="B5" s="15"/>
      <c r="C5" s="21"/>
      <c r="D5" s="16"/>
      <c r="E5" s="59"/>
      <c r="F5" s="59"/>
      <c r="G5" s="59"/>
      <c r="H5" s="59"/>
      <c r="I5" s="60"/>
      <c r="J5" s="60"/>
      <c r="K5" s="60"/>
      <c r="L5" s="60"/>
      <c r="M5" s="60"/>
      <c r="N5" s="60"/>
      <c r="O5" s="60"/>
    </row>
    <row r="6" spans="1:16" ht="22.5" x14ac:dyDescent="0.25">
      <c r="A6" s="12"/>
      <c r="B6" s="13"/>
      <c r="C6" s="205" t="s">
        <v>37</v>
      </c>
      <c r="D6" s="205"/>
    </row>
    <row r="7" spans="1:16" ht="16.5" thickBot="1" x14ac:dyDescent="0.3">
      <c r="A7" s="12"/>
      <c r="B7" s="13"/>
      <c r="C7" s="13"/>
      <c r="D7" s="13"/>
    </row>
    <row r="8" spans="1:16" x14ac:dyDescent="0.25">
      <c r="A8" s="12"/>
      <c r="B8" s="13"/>
      <c r="C8" s="13"/>
      <c r="D8" s="206" t="s">
        <v>27</v>
      </c>
      <c r="E8" s="207"/>
      <c r="F8" s="207"/>
      <c r="G8" s="207"/>
      <c r="H8" s="207"/>
      <c r="I8" s="207"/>
      <c r="J8" s="208"/>
      <c r="K8" s="209"/>
      <c r="L8" s="209"/>
      <c r="M8" s="209"/>
      <c r="N8" s="209"/>
      <c r="O8" s="209"/>
      <c r="P8" s="210"/>
    </row>
    <row r="9" spans="1:16" x14ac:dyDescent="0.25">
      <c r="A9" s="211"/>
      <c r="B9" s="211"/>
      <c r="C9" s="28" t="s">
        <v>28</v>
      </c>
      <c r="D9" s="212" t="s">
        <v>29</v>
      </c>
      <c r="E9" s="213"/>
      <c r="F9" s="213"/>
      <c r="G9" s="213"/>
      <c r="H9" s="213"/>
      <c r="I9" s="213"/>
      <c r="J9" s="214"/>
      <c r="K9" s="214"/>
      <c r="L9" s="214"/>
      <c r="M9" s="214"/>
      <c r="N9" s="214"/>
      <c r="O9" s="214"/>
      <c r="P9" s="215"/>
    </row>
    <row r="10" spans="1:16" s="3" customFormat="1" x14ac:dyDescent="0.25">
      <c r="A10" s="12"/>
      <c r="B10" s="13"/>
      <c r="C10" s="13"/>
      <c r="D10" s="212" t="s">
        <v>30</v>
      </c>
      <c r="E10" s="213"/>
      <c r="F10" s="213"/>
      <c r="G10" s="213"/>
      <c r="H10" s="213"/>
      <c r="I10" s="213"/>
      <c r="J10" s="214"/>
      <c r="K10" s="214"/>
      <c r="L10" s="214"/>
      <c r="M10" s="214"/>
      <c r="N10" s="214"/>
      <c r="O10" s="214"/>
      <c r="P10" s="215"/>
    </row>
    <row r="11" spans="1:16" s="3" customFormat="1" x14ac:dyDescent="0.25">
      <c r="A11" s="12"/>
      <c r="B11" s="13"/>
      <c r="C11" s="13"/>
      <c r="D11" s="212" t="s">
        <v>31</v>
      </c>
      <c r="E11" s="213"/>
      <c r="F11" s="213"/>
      <c r="G11" s="213"/>
      <c r="H11" s="213"/>
      <c r="I11" s="213"/>
      <c r="J11" s="214"/>
      <c r="K11" s="214"/>
      <c r="L11" s="214"/>
      <c r="M11" s="214"/>
      <c r="N11" s="214"/>
      <c r="O11" s="214"/>
      <c r="P11" s="215"/>
    </row>
    <row r="12" spans="1:16" s="3" customFormat="1" x14ac:dyDescent="0.25">
      <c r="A12" s="12"/>
      <c r="B12" s="13"/>
      <c r="C12" s="13"/>
      <c r="D12" s="212" t="s">
        <v>32</v>
      </c>
      <c r="E12" s="213"/>
      <c r="F12" s="213"/>
      <c r="G12" s="213"/>
      <c r="H12" s="213"/>
      <c r="I12" s="213"/>
      <c r="J12" s="214"/>
      <c r="K12" s="214"/>
      <c r="L12" s="214"/>
      <c r="M12" s="214"/>
      <c r="N12" s="214"/>
      <c r="O12" s="214"/>
      <c r="P12" s="215"/>
    </row>
    <row r="13" spans="1:16" s="3" customFormat="1" x14ac:dyDescent="0.25">
      <c r="A13" s="12"/>
      <c r="B13" s="13"/>
      <c r="C13" s="13"/>
      <c r="D13" s="212" t="s">
        <v>33</v>
      </c>
      <c r="E13" s="213"/>
      <c r="F13" s="213"/>
      <c r="G13" s="213"/>
      <c r="H13" s="213"/>
      <c r="I13" s="213"/>
      <c r="J13" s="214"/>
      <c r="K13" s="214"/>
      <c r="L13" s="214"/>
      <c r="M13" s="214"/>
      <c r="N13" s="214"/>
      <c r="O13" s="214"/>
      <c r="P13" s="215"/>
    </row>
    <row r="14" spans="1:16" s="3" customFormat="1" x14ac:dyDescent="0.25">
      <c r="A14" s="12"/>
      <c r="B14" s="13"/>
      <c r="C14" s="13"/>
      <c r="D14" s="212" t="s">
        <v>34</v>
      </c>
      <c r="E14" s="213"/>
      <c r="F14" s="213"/>
      <c r="G14" s="213"/>
      <c r="H14" s="213"/>
      <c r="I14" s="213"/>
      <c r="J14" s="214"/>
      <c r="K14" s="214"/>
      <c r="L14" s="214"/>
      <c r="M14" s="214"/>
      <c r="N14" s="214"/>
      <c r="O14" s="214"/>
      <c r="P14" s="215"/>
    </row>
    <row r="15" spans="1:16" s="3" customFormat="1" ht="16.5" thickBot="1" x14ac:dyDescent="0.3">
      <c r="A15" s="12"/>
      <c r="B15" s="13"/>
      <c r="C15" s="13"/>
      <c r="D15" s="226" t="s">
        <v>35</v>
      </c>
      <c r="E15" s="227"/>
      <c r="F15" s="227"/>
      <c r="G15" s="227"/>
      <c r="H15" s="227"/>
      <c r="I15" s="227"/>
      <c r="J15" s="228"/>
      <c r="K15" s="228"/>
      <c r="L15" s="228"/>
      <c r="M15" s="228"/>
      <c r="N15" s="228"/>
      <c r="O15" s="228"/>
      <c r="P15" s="229"/>
    </row>
    <row r="16" spans="1:16" s="3" customFormat="1" ht="16.5" thickBot="1" x14ac:dyDescent="0.3">
      <c r="A16" s="34"/>
      <c r="B16" s="35"/>
      <c r="C16" s="35"/>
      <c r="D16" s="36"/>
      <c r="E16" s="63"/>
      <c r="F16" s="64"/>
      <c r="G16" s="64"/>
      <c r="H16" s="64"/>
      <c r="I16" s="64"/>
      <c r="J16" s="64"/>
      <c r="K16" s="65"/>
      <c r="L16" s="65"/>
      <c r="M16" s="65"/>
      <c r="N16" s="65"/>
      <c r="O16" s="220"/>
      <c r="P16" s="221"/>
    </row>
    <row r="17" spans="1:16" ht="36" customHeight="1" x14ac:dyDescent="0.25">
      <c r="A17" s="194" t="s">
        <v>47</v>
      </c>
      <c r="B17" s="196" t="s">
        <v>2</v>
      </c>
      <c r="C17" s="198" t="s">
        <v>1</v>
      </c>
      <c r="D17" s="200" t="s">
        <v>0</v>
      </c>
      <c r="E17" s="202" t="s">
        <v>62</v>
      </c>
      <c r="F17" s="222" t="s">
        <v>61</v>
      </c>
      <c r="G17" s="224" t="s">
        <v>63</v>
      </c>
      <c r="H17" s="224" t="s">
        <v>64</v>
      </c>
      <c r="I17" s="216" t="s">
        <v>3</v>
      </c>
      <c r="J17" s="216"/>
      <c r="K17" s="216"/>
      <c r="L17" s="217"/>
      <c r="M17" s="218" t="s">
        <v>4</v>
      </c>
      <c r="N17" s="219"/>
      <c r="O17" s="219"/>
      <c r="P17" s="219"/>
    </row>
    <row r="18" spans="1:16" ht="36" customHeight="1" thickBot="1" x14ac:dyDescent="0.3">
      <c r="A18" s="195"/>
      <c r="B18" s="197"/>
      <c r="C18" s="199"/>
      <c r="D18" s="201"/>
      <c r="E18" s="203"/>
      <c r="F18" s="223"/>
      <c r="G18" s="225"/>
      <c r="H18" s="225"/>
      <c r="I18" s="66" t="s">
        <v>55</v>
      </c>
      <c r="J18" s="66" t="s">
        <v>99</v>
      </c>
      <c r="K18" s="67" t="s">
        <v>54</v>
      </c>
      <c r="L18" s="68" t="s">
        <v>5</v>
      </c>
      <c r="M18" s="69" t="s">
        <v>55</v>
      </c>
      <c r="N18" s="66" t="s">
        <v>99</v>
      </c>
      <c r="O18" s="70" t="s">
        <v>54</v>
      </c>
      <c r="P18" s="71" t="s">
        <v>5</v>
      </c>
    </row>
    <row r="19" spans="1:16" s="9" customFormat="1" ht="23.25" customHeight="1" x14ac:dyDescent="0.25">
      <c r="A19" s="111" t="s">
        <v>124</v>
      </c>
      <c r="B19" s="111" t="s">
        <v>6</v>
      </c>
      <c r="C19" s="109" t="s">
        <v>123</v>
      </c>
      <c r="D19" s="109"/>
      <c r="E19" s="109"/>
      <c r="F19" s="109"/>
      <c r="G19" s="109"/>
      <c r="H19" s="109"/>
      <c r="I19" s="109"/>
      <c r="J19" s="109"/>
      <c r="K19" s="109"/>
      <c r="L19" s="109"/>
      <c r="M19" s="110">
        <f>M20+M23+M29+M44+M71</f>
        <v>0</v>
      </c>
      <c r="N19" s="110">
        <f t="shared" ref="N19:P19" si="0">N20+N23+N29+N44+N71</f>
        <v>0</v>
      </c>
      <c r="O19" s="110">
        <f t="shared" si="0"/>
        <v>0</v>
      </c>
      <c r="P19" s="110">
        <f t="shared" si="0"/>
        <v>0</v>
      </c>
    </row>
    <row r="20" spans="1:16" s="10" customFormat="1" ht="36.75" customHeight="1" x14ac:dyDescent="0.25">
      <c r="A20" s="125" t="s">
        <v>125</v>
      </c>
      <c r="B20" s="27" t="s">
        <v>7</v>
      </c>
      <c r="C20" s="43" t="s">
        <v>129</v>
      </c>
      <c r="D20" s="53"/>
      <c r="E20" s="72"/>
      <c r="F20" s="73"/>
      <c r="G20" s="74"/>
      <c r="H20" s="88"/>
      <c r="I20" s="112"/>
      <c r="J20" s="112"/>
      <c r="K20" s="112"/>
      <c r="L20" s="112"/>
      <c r="M20" s="101">
        <f>SUM(M21:M22)</f>
        <v>0</v>
      </c>
      <c r="N20" s="101">
        <f t="shared" ref="N20:P20" si="1">SUM(N21:N22)</f>
        <v>0</v>
      </c>
      <c r="O20" s="101">
        <f t="shared" si="1"/>
        <v>0</v>
      </c>
      <c r="P20" s="101">
        <f t="shared" si="1"/>
        <v>0</v>
      </c>
    </row>
    <row r="21" spans="1:16" s="11" customFormat="1" ht="31.5" outlineLevel="1" x14ac:dyDescent="0.25">
      <c r="A21" s="126"/>
      <c r="B21" s="25" t="s">
        <v>8</v>
      </c>
      <c r="C21" s="45" t="s">
        <v>96</v>
      </c>
      <c r="D21" s="54" t="s">
        <v>18</v>
      </c>
      <c r="E21" s="75">
        <f>SUM(F21:H21)</f>
        <v>618</v>
      </c>
      <c r="F21" s="76">
        <f>616*0.5</f>
        <v>308</v>
      </c>
      <c r="G21" s="77">
        <f>0.5*322</f>
        <v>161</v>
      </c>
      <c r="H21" s="78">
        <f>0.5*297</f>
        <v>149</v>
      </c>
      <c r="I21" s="102"/>
      <c r="J21" s="102"/>
      <c r="K21" s="102"/>
      <c r="L21" s="103">
        <f>SUM(I21:K21)</f>
        <v>0</v>
      </c>
      <c r="M21" s="113">
        <f>E21*I21</f>
        <v>0</v>
      </c>
      <c r="N21" s="113">
        <f>E21*J21</f>
        <v>0</v>
      </c>
      <c r="O21" s="113">
        <f>K21*E21</f>
        <v>0</v>
      </c>
      <c r="P21" s="114">
        <f>L21*E21</f>
        <v>0</v>
      </c>
    </row>
    <row r="22" spans="1:16" s="11" customFormat="1" ht="31.5" outlineLevel="1" x14ac:dyDescent="0.25">
      <c r="A22" s="126"/>
      <c r="B22" s="25" t="s">
        <v>12</v>
      </c>
      <c r="C22" s="45" t="s">
        <v>97</v>
      </c>
      <c r="D22" s="54" t="s">
        <v>18</v>
      </c>
      <c r="E22" s="75">
        <f t="shared" ref="E22:E43" si="2">SUM(F22:H22)</f>
        <v>5295</v>
      </c>
      <c r="F22" s="76">
        <f>15*174</f>
        <v>2610</v>
      </c>
      <c r="G22" s="77">
        <f>15*95</f>
        <v>1425</v>
      </c>
      <c r="H22" s="76">
        <f>15*84</f>
        <v>1260</v>
      </c>
      <c r="I22" s="102"/>
      <c r="J22" s="102"/>
      <c r="K22" s="102"/>
      <c r="L22" s="103">
        <f t="shared" ref="L22:L43" si="3">SUM(I22:K22)</f>
        <v>0</v>
      </c>
      <c r="M22" s="113">
        <f t="shared" ref="M22:M43" si="4">E22*I22</f>
        <v>0</v>
      </c>
      <c r="N22" s="113">
        <f t="shared" ref="N22:N43" si="5">E22*J22</f>
        <v>0</v>
      </c>
      <c r="O22" s="113">
        <f t="shared" ref="O22:O43" si="6">K22*E22</f>
        <v>0</v>
      </c>
      <c r="P22" s="114">
        <f t="shared" ref="P22:P43" si="7">L22*E22</f>
        <v>0</v>
      </c>
    </row>
    <row r="23" spans="1:16" s="10" customFormat="1" ht="28.5" customHeight="1" x14ac:dyDescent="0.25">
      <c r="A23" s="125" t="s">
        <v>125</v>
      </c>
      <c r="B23" s="27" t="s">
        <v>13</v>
      </c>
      <c r="C23" s="43" t="s">
        <v>49</v>
      </c>
      <c r="D23" s="53"/>
      <c r="E23" s="72"/>
      <c r="F23" s="73"/>
      <c r="G23" s="74"/>
      <c r="H23" s="88"/>
      <c r="I23" s="112"/>
      <c r="J23" s="112"/>
      <c r="K23" s="112"/>
      <c r="L23" s="112"/>
      <c r="M23" s="101">
        <f>SUM(M24:M28)</f>
        <v>0</v>
      </c>
      <c r="N23" s="101">
        <f t="shared" ref="N23:P23" si="8">SUM(N24:N28)</f>
        <v>0</v>
      </c>
      <c r="O23" s="101">
        <f t="shared" si="8"/>
        <v>0</v>
      </c>
      <c r="P23" s="101">
        <f t="shared" si="8"/>
        <v>0</v>
      </c>
    </row>
    <row r="24" spans="1:16" s="11" customFormat="1" ht="31.5" outlineLevel="1" x14ac:dyDescent="0.25">
      <c r="A24" s="126"/>
      <c r="B24" s="25" t="s">
        <v>14</v>
      </c>
      <c r="C24" s="47" t="s">
        <v>121</v>
      </c>
      <c r="D24" s="56" t="s">
        <v>48</v>
      </c>
      <c r="E24" s="75">
        <f>SUM(F24:H24)</f>
        <v>2470</v>
      </c>
      <c r="F24" s="79">
        <f>2*616</f>
        <v>1232</v>
      </c>
      <c r="G24" s="80">
        <f>2*322</f>
        <v>644</v>
      </c>
      <c r="H24" s="81">
        <f>2*297</f>
        <v>594</v>
      </c>
      <c r="I24" s="102"/>
      <c r="J24" s="102"/>
      <c r="K24" s="102"/>
      <c r="L24" s="103">
        <f t="shared" ref="L24:L27" si="9">SUM(I24:K24)</f>
        <v>0</v>
      </c>
      <c r="M24" s="113">
        <f>E24*I24</f>
        <v>0</v>
      </c>
      <c r="N24" s="113">
        <f>E24*J24</f>
        <v>0</v>
      </c>
      <c r="O24" s="113">
        <f>K24*E24</f>
        <v>0</v>
      </c>
      <c r="P24" s="114">
        <f>L24*E24</f>
        <v>0</v>
      </c>
    </row>
    <row r="25" spans="1:16" s="11" customFormat="1" ht="47.25" outlineLevel="1" x14ac:dyDescent="0.25">
      <c r="A25" s="126"/>
      <c r="B25" s="25" t="s">
        <v>15</v>
      </c>
      <c r="C25" s="48" t="s">
        <v>80</v>
      </c>
      <c r="D25" s="56" t="s">
        <v>18</v>
      </c>
      <c r="E25" s="75">
        <f>SUM(F25:H25)</f>
        <v>6354</v>
      </c>
      <c r="F25" s="79">
        <f>18*174</f>
        <v>3132</v>
      </c>
      <c r="G25" s="80">
        <f>18*95</f>
        <v>1710</v>
      </c>
      <c r="H25" s="81">
        <f>18*84</f>
        <v>1512</v>
      </c>
      <c r="I25" s="102"/>
      <c r="J25" s="102"/>
      <c r="K25" s="102"/>
      <c r="L25" s="103">
        <f t="shared" si="9"/>
        <v>0</v>
      </c>
      <c r="M25" s="113">
        <f t="shared" ref="M25:M27" si="10">E25*I25</f>
        <v>0</v>
      </c>
      <c r="N25" s="113">
        <f>E25*J25</f>
        <v>0</v>
      </c>
      <c r="O25" s="113">
        <f t="shared" ref="O25:O27" si="11">K25*E25</f>
        <v>0</v>
      </c>
      <c r="P25" s="114">
        <f t="shared" ref="P25:P27" si="12">L25*E25</f>
        <v>0</v>
      </c>
    </row>
    <row r="26" spans="1:16" s="11" customFormat="1" ht="31.5" outlineLevel="1" x14ac:dyDescent="0.25">
      <c r="A26" s="126"/>
      <c r="B26" s="25" t="s">
        <v>16</v>
      </c>
      <c r="C26" s="48" t="s">
        <v>81</v>
      </c>
      <c r="D26" s="56" t="s">
        <v>18</v>
      </c>
      <c r="E26" s="75">
        <f>SUM(F26:H26)</f>
        <v>9531</v>
      </c>
      <c r="F26" s="79">
        <f>27*174</f>
        <v>4698</v>
      </c>
      <c r="G26" s="80">
        <f>27*95</f>
        <v>2565</v>
      </c>
      <c r="H26" s="81">
        <f>27*84</f>
        <v>2268</v>
      </c>
      <c r="I26" s="102"/>
      <c r="J26" s="102"/>
      <c r="K26" s="102"/>
      <c r="L26" s="103">
        <f t="shared" si="9"/>
        <v>0</v>
      </c>
      <c r="M26" s="113">
        <f t="shared" si="10"/>
        <v>0</v>
      </c>
      <c r="N26" s="113">
        <f>E26*J26</f>
        <v>0</v>
      </c>
      <c r="O26" s="113">
        <f t="shared" si="11"/>
        <v>0</v>
      </c>
      <c r="P26" s="114">
        <f t="shared" si="12"/>
        <v>0</v>
      </c>
    </row>
    <row r="27" spans="1:16" s="11" customFormat="1" ht="31.5" outlineLevel="1" x14ac:dyDescent="0.25">
      <c r="A27" s="126"/>
      <c r="B27" s="25" t="s">
        <v>17</v>
      </c>
      <c r="C27" s="48" t="s">
        <v>83</v>
      </c>
      <c r="D27" s="56" t="s">
        <v>18</v>
      </c>
      <c r="E27" s="75">
        <f>SUM(F27:H27)</f>
        <v>5295</v>
      </c>
      <c r="F27" s="79">
        <f>15*174</f>
        <v>2610</v>
      </c>
      <c r="G27" s="80">
        <f>15*95</f>
        <v>1425</v>
      </c>
      <c r="H27" s="81">
        <f>15*84</f>
        <v>1260</v>
      </c>
      <c r="I27" s="102"/>
      <c r="J27" s="102"/>
      <c r="K27" s="102"/>
      <c r="L27" s="103">
        <f t="shared" si="9"/>
        <v>0</v>
      </c>
      <c r="M27" s="113">
        <f t="shared" si="10"/>
        <v>0</v>
      </c>
      <c r="N27" s="113">
        <f>E27*J27</f>
        <v>0</v>
      </c>
      <c r="O27" s="113">
        <f t="shared" si="11"/>
        <v>0</v>
      </c>
      <c r="P27" s="114">
        <f t="shared" si="12"/>
        <v>0</v>
      </c>
    </row>
    <row r="28" spans="1:16" s="11" customFormat="1" outlineLevel="1" x14ac:dyDescent="0.25">
      <c r="A28" s="127"/>
      <c r="B28" s="25" t="s">
        <v>26</v>
      </c>
      <c r="C28" s="49" t="s">
        <v>82</v>
      </c>
      <c r="D28" s="57" t="s">
        <v>84</v>
      </c>
      <c r="E28" s="75">
        <f>SUM(F28:H28)</f>
        <v>3</v>
      </c>
      <c r="F28" s="82">
        <v>1</v>
      </c>
      <c r="G28" s="83">
        <v>1</v>
      </c>
      <c r="H28" s="84">
        <v>1</v>
      </c>
      <c r="I28" s="102"/>
      <c r="J28" s="102"/>
      <c r="K28" s="102"/>
      <c r="L28" s="103">
        <f t="shared" ref="L28" si="13">SUM(I28:K28)</f>
        <v>0</v>
      </c>
      <c r="M28" s="113">
        <f t="shared" ref="M28" si="14">E28*I28</f>
        <v>0</v>
      </c>
      <c r="N28" s="113">
        <f>E28*J28</f>
        <v>0</v>
      </c>
      <c r="O28" s="113">
        <f t="shared" ref="O28" si="15">K28*E28</f>
        <v>0</v>
      </c>
      <c r="P28" s="114">
        <f t="shared" ref="P28" si="16">L28*E28</f>
        <v>0</v>
      </c>
    </row>
    <row r="29" spans="1:16" s="10" customFormat="1" ht="36.75" customHeight="1" x14ac:dyDescent="0.25">
      <c r="A29" s="125" t="s">
        <v>126</v>
      </c>
      <c r="B29" s="27" t="s">
        <v>115</v>
      </c>
      <c r="C29" s="43" t="s">
        <v>130</v>
      </c>
      <c r="D29" s="53"/>
      <c r="E29" s="72"/>
      <c r="F29" s="73"/>
      <c r="G29" s="74"/>
      <c r="H29" s="88"/>
      <c r="I29" s="112"/>
      <c r="J29" s="112"/>
      <c r="K29" s="112"/>
      <c r="L29" s="112"/>
      <c r="M29" s="101">
        <f>SUM(M30:M43)</f>
        <v>0</v>
      </c>
      <c r="N29" s="101">
        <f t="shared" ref="N29:P29" si="17">SUM(N30:N43)</f>
        <v>0</v>
      </c>
      <c r="O29" s="101">
        <f t="shared" si="17"/>
        <v>0</v>
      </c>
      <c r="P29" s="101">
        <f t="shared" si="17"/>
        <v>0</v>
      </c>
    </row>
    <row r="30" spans="1:16" s="11" customFormat="1" ht="31.5" outlineLevel="1" x14ac:dyDescent="0.25">
      <c r="A30" s="126"/>
      <c r="B30" s="25" t="s">
        <v>116</v>
      </c>
      <c r="C30" s="46" t="s">
        <v>95</v>
      </c>
      <c r="D30" s="54" t="s">
        <v>18</v>
      </c>
      <c r="E30" s="75">
        <f t="shared" si="2"/>
        <v>5113</v>
      </c>
      <c r="F30" s="76">
        <f>(25*424+192*10)*0.2</f>
        <v>2504</v>
      </c>
      <c r="G30" s="77">
        <f>(25*240+82*10)*0.2</f>
        <v>1364</v>
      </c>
      <c r="H30" s="78">
        <f>(25*217+10*80)*0.2</f>
        <v>1245</v>
      </c>
      <c r="I30" s="102"/>
      <c r="J30" s="102"/>
      <c r="K30" s="102"/>
      <c r="L30" s="103">
        <f t="shared" ref="L30" si="18">SUM(I30:K30)</f>
        <v>0</v>
      </c>
      <c r="M30" s="113">
        <f t="shared" ref="M30" si="19">E30*I30</f>
        <v>0</v>
      </c>
      <c r="N30" s="113">
        <f t="shared" si="5"/>
        <v>0</v>
      </c>
      <c r="O30" s="113">
        <f t="shared" ref="O30" si="20">K30*E30</f>
        <v>0</v>
      </c>
      <c r="P30" s="114">
        <f t="shared" ref="P30" si="21">L30*E30</f>
        <v>0</v>
      </c>
    </row>
    <row r="31" spans="1:16" s="11" customFormat="1" ht="31.5" outlineLevel="1" x14ac:dyDescent="0.25">
      <c r="A31" s="126"/>
      <c r="B31" s="25" t="s">
        <v>117</v>
      </c>
      <c r="C31" s="46" t="s">
        <v>92</v>
      </c>
      <c r="D31" s="54" t="s">
        <v>18</v>
      </c>
      <c r="E31" s="75">
        <f t="shared" si="2"/>
        <v>13008</v>
      </c>
      <c r="F31" s="76">
        <f>10400*0.6</f>
        <v>6240</v>
      </c>
      <c r="G31" s="77">
        <f>5620*0.6</f>
        <v>3372</v>
      </c>
      <c r="H31" s="78">
        <f>5660*0.6</f>
        <v>3396</v>
      </c>
      <c r="I31" s="102"/>
      <c r="J31" s="102"/>
      <c r="K31" s="102"/>
      <c r="L31" s="103">
        <f t="shared" si="3"/>
        <v>0</v>
      </c>
      <c r="M31" s="113">
        <f t="shared" si="4"/>
        <v>0</v>
      </c>
      <c r="N31" s="113">
        <f t="shared" si="5"/>
        <v>0</v>
      </c>
      <c r="O31" s="113">
        <f t="shared" si="6"/>
        <v>0</v>
      </c>
      <c r="P31" s="114">
        <f t="shared" si="7"/>
        <v>0</v>
      </c>
    </row>
    <row r="32" spans="1:16" s="11" customFormat="1" ht="63" outlineLevel="1" x14ac:dyDescent="0.25">
      <c r="A32" s="126"/>
      <c r="B32" s="25" t="s">
        <v>118</v>
      </c>
      <c r="C32" s="46" t="s">
        <v>87</v>
      </c>
      <c r="D32" s="54" t="s">
        <v>18</v>
      </c>
      <c r="E32" s="75">
        <f t="shared" ref="E32:E42" si="22">SUM(F32:H32)</f>
        <v>12157</v>
      </c>
      <c r="F32" s="76">
        <f>9630*0.6</f>
        <v>5778</v>
      </c>
      <c r="G32" s="77">
        <f>5292*0.6</f>
        <v>3175</v>
      </c>
      <c r="H32" s="78">
        <f>5340*0.6</f>
        <v>3204</v>
      </c>
      <c r="I32" s="102"/>
      <c r="J32" s="102"/>
      <c r="K32" s="102"/>
      <c r="L32" s="103">
        <f t="shared" ref="L32" si="23">SUM(I32:K32)</f>
        <v>0</v>
      </c>
      <c r="M32" s="113">
        <f t="shared" ref="M32" si="24">E32*I32</f>
        <v>0</v>
      </c>
      <c r="N32" s="113">
        <f t="shared" si="5"/>
        <v>0</v>
      </c>
      <c r="O32" s="113">
        <f t="shared" ref="O32" si="25">K32*E32</f>
        <v>0</v>
      </c>
      <c r="P32" s="114">
        <f t="shared" ref="P32" si="26">L32*E32</f>
        <v>0</v>
      </c>
    </row>
    <row r="33" spans="1:16" s="11" customFormat="1" ht="31.5" outlineLevel="1" x14ac:dyDescent="0.25">
      <c r="A33" s="126"/>
      <c r="B33" s="25" t="s">
        <v>119</v>
      </c>
      <c r="C33" s="46" t="s">
        <v>93</v>
      </c>
      <c r="D33" s="54" t="s">
        <v>18</v>
      </c>
      <c r="E33" s="75">
        <f t="shared" si="22"/>
        <v>12584</v>
      </c>
      <c r="F33" s="76">
        <f>10016*0.6</f>
        <v>6010</v>
      </c>
      <c r="G33" s="77">
        <f>5456*0.6</f>
        <v>3274</v>
      </c>
      <c r="H33" s="78">
        <f>5500*0.6</f>
        <v>3300</v>
      </c>
      <c r="I33" s="102"/>
      <c r="J33" s="102"/>
      <c r="K33" s="102"/>
      <c r="L33" s="103">
        <f t="shared" ref="L33:L42" si="27">SUM(I33:K33)</f>
        <v>0</v>
      </c>
      <c r="M33" s="113">
        <f t="shared" ref="M33:M42" si="28">E33*I33</f>
        <v>0</v>
      </c>
      <c r="N33" s="113">
        <f t="shared" si="5"/>
        <v>0</v>
      </c>
      <c r="O33" s="113">
        <f t="shared" ref="O33:O42" si="29">K33*E33</f>
        <v>0</v>
      </c>
      <c r="P33" s="114">
        <f t="shared" ref="P33:P42" si="30">L33*E33</f>
        <v>0</v>
      </c>
    </row>
    <row r="34" spans="1:16" s="11" customFormat="1" ht="63" outlineLevel="1" x14ac:dyDescent="0.25">
      <c r="A34" s="126"/>
      <c r="B34" s="25" t="s">
        <v>120</v>
      </c>
      <c r="C34" s="46" t="s">
        <v>88</v>
      </c>
      <c r="D34" s="54" t="s">
        <v>18</v>
      </c>
      <c r="E34" s="75">
        <f t="shared" si="22"/>
        <v>10951</v>
      </c>
      <c r="F34" s="76">
        <f>8744*0.6</f>
        <v>5246</v>
      </c>
      <c r="G34" s="77">
        <f>4736*0.6</f>
        <v>2842</v>
      </c>
      <c r="H34" s="78">
        <f>4771*0.6</f>
        <v>2863</v>
      </c>
      <c r="I34" s="102"/>
      <c r="J34" s="102"/>
      <c r="K34" s="102"/>
      <c r="L34" s="103">
        <f t="shared" si="27"/>
        <v>0</v>
      </c>
      <c r="M34" s="113">
        <f t="shared" si="28"/>
        <v>0</v>
      </c>
      <c r="N34" s="113">
        <f t="shared" si="5"/>
        <v>0</v>
      </c>
      <c r="O34" s="113">
        <f t="shared" si="29"/>
        <v>0</v>
      </c>
      <c r="P34" s="114">
        <f t="shared" si="30"/>
        <v>0</v>
      </c>
    </row>
    <row r="35" spans="1:16" s="11" customFormat="1" ht="31.5" outlineLevel="1" x14ac:dyDescent="0.25">
      <c r="A35" s="126"/>
      <c r="B35" s="25" t="s">
        <v>131</v>
      </c>
      <c r="C35" s="46" t="s">
        <v>94</v>
      </c>
      <c r="D35" s="54" t="s">
        <v>18</v>
      </c>
      <c r="E35" s="75">
        <f t="shared" ref="E35" si="31">SUM(F35:H35)</f>
        <v>8672</v>
      </c>
      <c r="F35" s="76">
        <f>10400*0.4</f>
        <v>4160</v>
      </c>
      <c r="G35" s="77">
        <f>5620*0.4</f>
        <v>2248</v>
      </c>
      <c r="H35" s="78">
        <f>5660*0.4</f>
        <v>2264</v>
      </c>
      <c r="I35" s="102"/>
      <c r="J35" s="102"/>
      <c r="K35" s="102"/>
      <c r="L35" s="103">
        <f t="shared" ref="L35:L38" si="32">SUM(I35:K35)</f>
        <v>0</v>
      </c>
      <c r="M35" s="113">
        <f t="shared" ref="M35:M38" si="33">E35*I35</f>
        <v>0</v>
      </c>
      <c r="N35" s="113">
        <f t="shared" si="5"/>
        <v>0</v>
      </c>
      <c r="O35" s="113">
        <f t="shared" ref="O35:O38" si="34">K35*E35</f>
        <v>0</v>
      </c>
      <c r="P35" s="114">
        <f t="shared" ref="P35:P38" si="35">L35*E35</f>
        <v>0</v>
      </c>
    </row>
    <row r="36" spans="1:16" s="11" customFormat="1" ht="63" outlineLevel="1" x14ac:dyDescent="0.25">
      <c r="A36" s="126"/>
      <c r="B36" s="25" t="s">
        <v>132</v>
      </c>
      <c r="C36" s="46" t="s">
        <v>87</v>
      </c>
      <c r="D36" s="54" t="s">
        <v>18</v>
      </c>
      <c r="E36" s="75">
        <f t="shared" ref="E36:E38" si="36">SUM(F36:H36)</f>
        <v>8105</v>
      </c>
      <c r="F36" s="76">
        <f>9630*0.4</f>
        <v>3852</v>
      </c>
      <c r="G36" s="77">
        <f>5292*0.4</f>
        <v>2117</v>
      </c>
      <c r="H36" s="78">
        <f>5340*0.4</f>
        <v>2136</v>
      </c>
      <c r="I36" s="102"/>
      <c r="J36" s="102"/>
      <c r="K36" s="102"/>
      <c r="L36" s="103">
        <f t="shared" si="32"/>
        <v>0</v>
      </c>
      <c r="M36" s="113">
        <f t="shared" si="33"/>
        <v>0</v>
      </c>
      <c r="N36" s="113">
        <f t="shared" si="5"/>
        <v>0</v>
      </c>
      <c r="O36" s="113">
        <f t="shared" si="34"/>
        <v>0</v>
      </c>
      <c r="P36" s="114">
        <f t="shared" si="35"/>
        <v>0</v>
      </c>
    </row>
    <row r="37" spans="1:16" s="11" customFormat="1" ht="31.5" outlineLevel="1" x14ac:dyDescent="0.25">
      <c r="A37" s="126"/>
      <c r="B37" s="25" t="s">
        <v>133</v>
      </c>
      <c r="C37" s="46" t="s">
        <v>98</v>
      </c>
      <c r="D37" s="54" t="s">
        <v>18</v>
      </c>
      <c r="E37" s="75">
        <f t="shared" si="36"/>
        <v>8388</v>
      </c>
      <c r="F37" s="76">
        <f>10016*0.4</f>
        <v>4006</v>
      </c>
      <c r="G37" s="77">
        <f>5456*0.4</f>
        <v>2182</v>
      </c>
      <c r="H37" s="78">
        <f>5500*0.4</f>
        <v>2200</v>
      </c>
      <c r="I37" s="102"/>
      <c r="J37" s="102"/>
      <c r="K37" s="102"/>
      <c r="L37" s="103">
        <f t="shared" si="32"/>
        <v>0</v>
      </c>
      <c r="M37" s="113">
        <f t="shared" si="33"/>
        <v>0</v>
      </c>
      <c r="N37" s="113">
        <f t="shared" si="5"/>
        <v>0</v>
      </c>
      <c r="O37" s="113">
        <f t="shared" si="34"/>
        <v>0</v>
      </c>
      <c r="P37" s="114">
        <f t="shared" si="35"/>
        <v>0</v>
      </c>
    </row>
    <row r="38" spans="1:16" s="11" customFormat="1" ht="63" outlineLevel="1" x14ac:dyDescent="0.25">
      <c r="A38" s="126"/>
      <c r="B38" s="25" t="s">
        <v>134</v>
      </c>
      <c r="C38" s="46" t="s">
        <v>88</v>
      </c>
      <c r="D38" s="54" t="s">
        <v>18</v>
      </c>
      <c r="E38" s="75">
        <f t="shared" si="36"/>
        <v>7300</v>
      </c>
      <c r="F38" s="76">
        <f>8744*0.4</f>
        <v>3498</v>
      </c>
      <c r="G38" s="77">
        <f>4736*0.4</f>
        <v>1894</v>
      </c>
      <c r="H38" s="78">
        <f>4771*0.4</f>
        <v>1908</v>
      </c>
      <c r="I38" s="102"/>
      <c r="J38" s="102"/>
      <c r="K38" s="102"/>
      <c r="L38" s="103">
        <f t="shared" si="32"/>
        <v>0</v>
      </c>
      <c r="M38" s="113">
        <f t="shared" si="33"/>
        <v>0</v>
      </c>
      <c r="N38" s="113">
        <f t="shared" si="5"/>
        <v>0</v>
      </c>
      <c r="O38" s="113">
        <f t="shared" si="34"/>
        <v>0</v>
      </c>
      <c r="P38" s="114">
        <f t="shared" si="35"/>
        <v>0</v>
      </c>
    </row>
    <row r="39" spans="1:16" s="11" customFormat="1" ht="31.5" outlineLevel="1" x14ac:dyDescent="0.25">
      <c r="A39" s="126"/>
      <c r="B39" s="25" t="s">
        <v>135</v>
      </c>
      <c r="C39" s="46" t="s">
        <v>89</v>
      </c>
      <c r="D39" s="54" t="s">
        <v>18</v>
      </c>
      <c r="E39" s="75">
        <f t="shared" si="22"/>
        <v>12350</v>
      </c>
      <c r="F39" s="76">
        <v>6160</v>
      </c>
      <c r="G39" s="77">
        <v>3220</v>
      </c>
      <c r="H39" s="78">
        <v>2970</v>
      </c>
      <c r="I39" s="102"/>
      <c r="J39" s="102"/>
      <c r="K39" s="102"/>
      <c r="L39" s="103">
        <f t="shared" si="27"/>
        <v>0</v>
      </c>
      <c r="M39" s="113">
        <f t="shared" si="28"/>
        <v>0</v>
      </c>
      <c r="N39" s="113">
        <f t="shared" si="5"/>
        <v>0</v>
      </c>
      <c r="O39" s="113">
        <f t="shared" si="29"/>
        <v>0</v>
      </c>
      <c r="P39" s="114">
        <f t="shared" si="30"/>
        <v>0</v>
      </c>
    </row>
    <row r="40" spans="1:16" s="11" customFormat="1" ht="63" outlineLevel="1" x14ac:dyDescent="0.25">
      <c r="A40" s="126"/>
      <c r="B40" s="25" t="s">
        <v>136</v>
      </c>
      <c r="C40" s="46" t="s">
        <v>90</v>
      </c>
      <c r="D40" s="54" t="s">
        <v>18</v>
      </c>
      <c r="E40" s="75">
        <f t="shared" si="22"/>
        <v>12350</v>
      </c>
      <c r="F40" s="76">
        <v>6160</v>
      </c>
      <c r="G40" s="77">
        <v>3220</v>
      </c>
      <c r="H40" s="78">
        <v>2970</v>
      </c>
      <c r="I40" s="102"/>
      <c r="J40" s="102"/>
      <c r="K40" s="102"/>
      <c r="L40" s="103">
        <f t="shared" si="27"/>
        <v>0</v>
      </c>
      <c r="M40" s="113">
        <f t="shared" si="28"/>
        <v>0</v>
      </c>
      <c r="N40" s="113">
        <f t="shared" si="5"/>
        <v>0</v>
      </c>
      <c r="O40" s="113">
        <f t="shared" si="29"/>
        <v>0</v>
      </c>
      <c r="P40" s="114">
        <f t="shared" si="30"/>
        <v>0</v>
      </c>
    </row>
    <row r="41" spans="1:16" s="11" customFormat="1" ht="31.5" outlineLevel="1" x14ac:dyDescent="0.25">
      <c r="A41" s="126"/>
      <c r="B41" s="25" t="s">
        <v>137</v>
      </c>
      <c r="C41" s="46" t="s">
        <v>91</v>
      </c>
      <c r="D41" s="54" t="s">
        <v>18</v>
      </c>
      <c r="E41" s="75">
        <f t="shared" si="22"/>
        <v>12350</v>
      </c>
      <c r="F41" s="76">
        <v>6160</v>
      </c>
      <c r="G41" s="77">
        <v>3220</v>
      </c>
      <c r="H41" s="78">
        <v>2970</v>
      </c>
      <c r="I41" s="102"/>
      <c r="J41" s="102"/>
      <c r="K41" s="102"/>
      <c r="L41" s="103">
        <f t="shared" si="27"/>
        <v>0</v>
      </c>
      <c r="M41" s="113">
        <f t="shared" si="28"/>
        <v>0</v>
      </c>
      <c r="N41" s="113">
        <f t="shared" si="5"/>
        <v>0</v>
      </c>
      <c r="O41" s="113">
        <f t="shared" si="29"/>
        <v>0</v>
      </c>
      <c r="P41" s="114">
        <f t="shared" si="30"/>
        <v>0</v>
      </c>
    </row>
    <row r="42" spans="1:16" s="11" customFormat="1" ht="63" outlineLevel="1" x14ac:dyDescent="0.25">
      <c r="A42" s="126"/>
      <c r="B42" s="25" t="s">
        <v>138</v>
      </c>
      <c r="C42" s="46" t="s">
        <v>90</v>
      </c>
      <c r="D42" s="54" t="s">
        <v>18</v>
      </c>
      <c r="E42" s="75">
        <f t="shared" si="22"/>
        <v>12350</v>
      </c>
      <c r="F42" s="76">
        <v>6160</v>
      </c>
      <c r="G42" s="77">
        <v>3220</v>
      </c>
      <c r="H42" s="78">
        <v>2970</v>
      </c>
      <c r="I42" s="102"/>
      <c r="J42" s="102"/>
      <c r="K42" s="102"/>
      <c r="L42" s="103">
        <f t="shared" si="27"/>
        <v>0</v>
      </c>
      <c r="M42" s="113">
        <f t="shared" si="28"/>
        <v>0</v>
      </c>
      <c r="N42" s="113">
        <f t="shared" si="5"/>
        <v>0</v>
      </c>
      <c r="O42" s="113">
        <f t="shared" si="29"/>
        <v>0</v>
      </c>
      <c r="P42" s="114">
        <f t="shared" si="30"/>
        <v>0</v>
      </c>
    </row>
    <row r="43" spans="1:16" s="11" customFormat="1" ht="31.5" outlineLevel="1" x14ac:dyDescent="0.25">
      <c r="A43" s="126"/>
      <c r="B43" s="25" t="s">
        <v>139</v>
      </c>
      <c r="C43" s="46" t="s">
        <v>86</v>
      </c>
      <c r="D43" s="55" t="s">
        <v>48</v>
      </c>
      <c r="E43" s="75">
        <f t="shared" si="2"/>
        <v>9531</v>
      </c>
      <c r="F43" s="85">
        <f>27*174</f>
        <v>4698</v>
      </c>
      <c r="G43" s="86">
        <f>27*95</f>
        <v>2565</v>
      </c>
      <c r="H43" s="87">
        <f>27*84</f>
        <v>2268</v>
      </c>
      <c r="I43" s="102"/>
      <c r="J43" s="102"/>
      <c r="K43" s="102"/>
      <c r="L43" s="103">
        <f t="shared" si="3"/>
        <v>0</v>
      </c>
      <c r="M43" s="113">
        <f t="shared" si="4"/>
        <v>0</v>
      </c>
      <c r="N43" s="113">
        <f t="shared" si="5"/>
        <v>0</v>
      </c>
      <c r="O43" s="113">
        <f t="shared" si="6"/>
        <v>0</v>
      </c>
      <c r="P43" s="114">
        <f t="shared" si="7"/>
        <v>0</v>
      </c>
    </row>
    <row r="44" spans="1:16" s="10" customFormat="1" ht="36.75" customHeight="1" x14ac:dyDescent="0.25">
      <c r="A44" s="125" t="s">
        <v>127</v>
      </c>
      <c r="B44" s="27" t="s">
        <v>141</v>
      </c>
      <c r="C44" s="43" t="s">
        <v>140</v>
      </c>
      <c r="D44" s="53"/>
      <c r="E44" s="72"/>
      <c r="F44" s="73"/>
      <c r="G44" s="74"/>
      <c r="H44" s="88"/>
      <c r="I44" s="112"/>
      <c r="J44" s="112"/>
      <c r="K44" s="112"/>
      <c r="L44" s="112"/>
      <c r="M44" s="101">
        <f>SUM(M45)</f>
        <v>0</v>
      </c>
      <c r="N44" s="101">
        <f t="shared" ref="N44:P44" si="37">SUM(N45)</f>
        <v>0</v>
      </c>
      <c r="O44" s="101">
        <f t="shared" si="37"/>
        <v>0</v>
      </c>
      <c r="P44" s="101">
        <f t="shared" si="37"/>
        <v>0</v>
      </c>
    </row>
    <row r="45" spans="1:16" s="10" customFormat="1" ht="26.25" customHeight="1" outlineLevel="1" x14ac:dyDescent="0.25">
      <c r="A45" s="128"/>
      <c r="B45" s="115" t="s">
        <v>142</v>
      </c>
      <c r="C45" s="116" t="s">
        <v>165</v>
      </c>
      <c r="D45" s="117"/>
      <c r="E45" s="118"/>
      <c r="F45" s="119"/>
      <c r="G45" s="120"/>
      <c r="H45" s="121"/>
      <c r="I45" s="122"/>
      <c r="J45" s="122"/>
      <c r="K45" s="122"/>
      <c r="L45" s="122"/>
      <c r="M45" s="123">
        <f>SUM(M46:M70)</f>
        <v>0</v>
      </c>
      <c r="N45" s="123">
        <f t="shared" ref="N45:P45" si="38">SUM(N46:N70)</f>
        <v>0</v>
      </c>
      <c r="O45" s="123">
        <f t="shared" si="38"/>
        <v>0</v>
      </c>
      <c r="P45" s="123">
        <f t="shared" si="38"/>
        <v>0</v>
      </c>
    </row>
    <row r="46" spans="1:16" s="11" customFormat="1" ht="47.25" outlineLevel="1" x14ac:dyDescent="0.25">
      <c r="A46" s="126"/>
      <c r="B46" s="25" t="s">
        <v>143</v>
      </c>
      <c r="C46" s="49" t="s">
        <v>77</v>
      </c>
      <c r="D46" s="56" t="s">
        <v>65</v>
      </c>
      <c r="E46" s="75">
        <f t="shared" ref="E46:E70" si="39">SUM(F46:H46)</f>
        <v>127322</v>
      </c>
      <c r="F46" s="79">
        <v>62887</v>
      </c>
      <c r="G46" s="80">
        <v>34191</v>
      </c>
      <c r="H46" s="81">
        <v>30244</v>
      </c>
      <c r="I46" s="102"/>
      <c r="J46" s="102"/>
      <c r="K46" s="102"/>
      <c r="L46" s="103">
        <f>SUM(I46:K46)</f>
        <v>0</v>
      </c>
      <c r="M46" s="113">
        <f>E46*I46</f>
        <v>0</v>
      </c>
      <c r="N46" s="113">
        <f t="shared" ref="N46:N70" si="40">E46*J46</f>
        <v>0</v>
      </c>
      <c r="O46" s="113">
        <f>K46*E46</f>
        <v>0</v>
      </c>
      <c r="P46" s="114">
        <f>L46*E46</f>
        <v>0</v>
      </c>
    </row>
    <row r="47" spans="1:16" s="11" customFormat="1" ht="31.5" outlineLevel="1" x14ac:dyDescent="0.25">
      <c r="A47" s="126"/>
      <c r="B47" s="25" t="s">
        <v>144</v>
      </c>
      <c r="C47" s="49" t="s">
        <v>78</v>
      </c>
      <c r="D47" s="56" t="s">
        <v>65</v>
      </c>
      <c r="E47" s="75">
        <f t="shared" si="39"/>
        <v>3442</v>
      </c>
      <c r="F47" s="79">
        <v>1700</v>
      </c>
      <c r="G47" s="80">
        <v>924</v>
      </c>
      <c r="H47" s="81">
        <v>818</v>
      </c>
      <c r="I47" s="102"/>
      <c r="J47" s="102"/>
      <c r="K47" s="102"/>
      <c r="L47" s="103">
        <f>SUM(I47:K47)</f>
        <v>0</v>
      </c>
      <c r="M47" s="113">
        <f>E47*I47</f>
        <v>0</v>
      </c>
      <c r="N47" s="113">
        <f t="shared" si="40"/>
        <v>0</v>
      </c>
      <c r="O47" s="113">
        <f>K47*E47</f>
        <v>0</v>
      </c>
      <c r="P47" s="114">
        <f>L47*E47</f>
        <v>0</v>
      </c>
    </row>
    <row r="48" spans="1:16" s="11" customFormat="1" ht="31.5" outlineLevel="1" x14ac:dyDescent="0.25">
      <c r="A48" s="126"/>
      <c r="B48" s="25" t="s">
        <v>145</v>
      </c>
      <c r="C48" s="49" t="s">
        <v>79</v>
      </c>
      <c r="D48" s="56" t="s">
        <v>65</v>
      </c>
      <c r="E48" s="75">
        <f t="shared" si="39"/>
        <v>64860</v>
      </c>
      <c r="F48" s="79">
        <v>32036</v>
      </c>
      <c r="G48" s="80">
        <v>17417</v>
      </c>
      <c r="H48" s="81">
        <v>15407</v>
      </c>
      <c r="I48" s="102"/>
      <c r="J48" s="102"/>
      <c r="K48" s="102"/>
      <c r="L48" s="103">
        <f>SUM(I48:K48)</f>
        <v>0</v>
      </c>
      <c r="M48" s="113">
        <f>E48*I48</f>
        <v>0</v>
      </c>
      <c r="N48" s="113">
        <f t="shared" si="40"/>
        <v>0</v>
      </c>
      <c r="O48" s="113">
        <f>K48*E48</f>
        <v>0</v>
      </c>
      <c r="P48" s="114">
        <f>L48*E48</f>
        <v>0</v>
      </c>
    </row>
    <row r="49" spans="1:16" s="11" customFormat="1" ht="47.25" outlineLevel="1" x14ac:dyDescent="0.25">
      <c r="A49" s="126"/>
      <c r="B49" s="25" t="s">
        <v>146</v>
      </c>
      <c r="C49" s="49" t="s">
        <v>109</v>
      </c>
      <c r="D49" s="56" t="s">
        <v>65</v>
      </c>
      <c r="E49" s="75">
        <f t="shared" ref="E49:E51" si="41">SUM(F49:H49)</f>
        <v>36630</v>
      </c>
      <c r="F49" s="79">
        <f>25846.37*0.7</f>
        <v>18092</v>
      </c>
      <c r="G49" s="80">
        <f>14052.26*0.7</f>
        <v>9837</v>
      </c>
      <c r="H49" s="81">
        <f>12430.01*0.7</f>
        <v>8701</v>
      </c>
      <c r="I49" s="102"/>
      <c r="J49" s="102"/>
      <c r="K49" s="102"/>
      <c r="L49" s="103">
        <f t="shared" ref="L49:L51" si="42">SUM(I49:K49)</f>
        <v>0</v>
      </c>
      <c r="M49" s="113">
        <f t="shared" ref="M49:M51" si="43">E49*I49</f>
        <v>0</v>
      </c>
      <c r="N49" s="113">
        <f t="shared" si="40"/>
        <v>0</v>
      </c>
      <c r="O49" s="113">
        <f t="shared" ref="O49:O51" si="44">K49*E49</f>
        <v>0</v>
      </c>
      <c r="P49" s="114">
        <f t="shared" ref="P49:P51" si="45">L49*E49</f>
        <v>0</v>
      </c>
    </row>
    <row r="50" spans="1:16" s="11" customFormat="1" ht="31.5" outlineLevel="1" x14ac:dyDescent="0.25">
      <c r="A50" s="126"/>
      <c r="B50" s="25" t="s">
        <v>147</v>
      </c>
      <c r="C50" s="49" t="s">
        <v>110</v>
      </c>
      <c r="D50" s="56" t="s">
        <v>65</v>
      </c>
      <c r="E50" s="75">
        <f t="shared" si="41"/>
        <v>433</v>
      </c>
      <c r="F50" s="79">
        <f>305.64*0.7</f>
        <v>214</v>
      </c>
      <c r="G50" s="80">
        <f>166.18*0.7</f>
        <v>116</v>
      </c>
      <c r="H50" s="81">
        <f>147*0.7</f>
        <v>103</v>
      </c>
      <c r="I50" s="102"/>
      <c r="J50" s="102"/>
      <c r="K50" s="102"/>
      <c r="L50" s="103">
        <f t="shared" si="42"/>
        <v>0</v>
      </c>
      <c r="M50" s="113">
        <f t="shared" si="43"/>
        <v>0</v>
      </c>
      <c r="N50" s="113">
        <f t="shared" si="40"/>
        <v>0</v>
      </c>
      <c r="O50" s="113">
        <f t="shared" si="44"/>
        <v>0</v>
      </c>
      <c r="P50" s="114">
        <f t="shared" si="45"/>
        <v>0</v>
      </c>
    </row>
    <row r="51" spans="1:16" s="11" customFormat="1" ht="31.5" outlineLevel="1" x14ac:dyDescent="0.25">
      <c r="A51" s="126"/>
      <c r="B51" s="25" t="s">
        <v>148</v>
      </c>
      <c r="C51" s="49" t="s">
        <v>111</v>
      </c>
      <c r="D51" s="56" t="s">
        <v>65</v>
      </c>
      <c r="E51" s="75">
        <f t="shared" si="41"/>
        <v>10694</v>
      </c>
      <c r="F51" s="79">
        <f>7545.7*0.7</f>
        <v>5282</v>
      </c>
      <c r="G51" s="80">
        <f>4102.47*0.7</f>
        <v>2872</v>
      </c>
      <c r="H51" s="81">
        <f>3628.87*0.7</f>
        <v>2540</v>
      </c>
      <c r="I51" s="102"/>
      <c r="J51" s="102"/>
      <c r="K51" s="102"/>
      <c r="L51" s="103">
        <f t="shared" si="42"/>
        <v>0</v>
      </c>
      <c r="M51" s="113">
        <f t="shared" si="43"/>
        <v>0</v>
      </c>
      <c r="N51" s="113">
        <f t="shared" si="40"/>
        <v>0</v>
      </c>
      <c r="O51" s="113">
        <f t="shared" si="44"/>
        <v>0</v>
      </c>
      <c r="P51" s="114">
        <f t="shared" si="45"/>
        <v>0</v>
      </c>
    </row>
    <row r="52" spans="1:16" s="11" customFormat="1" ht="31.5" outlineLevel="1" x14ac:dyDescent="0.25">
      <c r="A52" s="126"/>
      <c r="B52" s="25" t="s">
        <v>149</v>
      </c>
      <c r="C52" s="49" t="s">
        <v>112</v>
      </c>
      <c r="D52" s="56" t="s">
        <v>65</v>
      </c>
      <c r="E52" s="75">
        <f t="shared" si="39"/>
        <v>15699</v>
      </c>
      <c r="F52" s="79">
        <f>25846.37*0.3</f>
        <v>7754</v>
      </c>
      <c r="G52" s="80">
        <f>14052.26*0.3</f>
        <v>4216</v>
      </c>
      <c r="H52" s="81">
        <f>12430.01*0.3</f>
        <v>3729</v>
      </c>
      <c r="I52" s="102"/>
      <c r="J52" s="102"/>
      <c r="K52" s="102"/>
      <c r="L52" s="103">
        <f>SUM(I52:K52)</f>
        <v>0</v>
      </c>
      <c r="M52" s="113">
        <f>E52*I52</f>
        <v>0</v>
      </c>
      <c r="N52" s="113">
        <f t="shared" si="40"/>
        <v>0</v>
      </c>
      <c r="O52" s="113">
        <f>K52*E52</f>
        <v>0</v>
      </c>
      <c r="P52" s="114">
        <f>L52*E52</f>
        <v>0</v>
      </c>
    </row>
    <row r="53" spans="1:16" s="11" customFormat="1" ht="31.5" outlineLevel="1" x14ac:dyDescent="0.25">
      <c r="A53" s="126"/>
      <c r="B53" s="25" t="s">
        <v>150</v>
      </c>
      <c r="C53" s="49" t="s">
        <v>113</v>
      </c>
      <c r="D53" s="56" t="s">
        <v>65</v>
      </c>
      <c r="E53" s="75">
        <f t="shared" si="39"/>
        <v>186</v>
      </c>
      <c r="F53" s="79">
        <f>305.64*0.3</f>
        <v>92</v>
      </c>
      <c r="G53" s="80">
        <f>166.18*0.3</f>
        <v>50</v>
      </c>
      <c r="H53" s="81">
        <f>147*0.3</f>
        <v>44</v>
      </c>
      <c r="I53" s="102"/>
      <c r="J53" s="102"/>
      <c r="K53" s="102"/>
      <c r="L53" s="103">
        <f t="shared" ref="L53:L69" si="46">SUM(I53:K53)</f>
        <v>0</v>
      </c>
      <c r="M53" s="113">
        <f t="shared" ref="M53:M69" si="47">E53*I53</f>
        <v>0</v>
      </c>
      <c r="N53" s="113">
        <f t="shared" si="40"/>
        <v>0</v>
      </c>
      <c r="O53" s="113">
        <f t="shared" ref="O53:O69" si="48">K53*E53</f>
        <v>0</v>
      </c>
      <c r="P53" s="114">
        <f t="shared" ref="P53:P69" si="49">L53*E53</f>
        <v>0</v>
      </c>
    </row>
    <row r="54" spans="1:16" s="11" customFormat="1" ht="31.5" outlineLevel="1" x14ac:dyDescent="0.25">
      <c r="A54" s="126"/>
      <c r="B54" s="25" t="s">
        <v>151</v>
      </c>
      <c r="C54" s="49" t="s">
        <v>177</v>
      </c>
      <c r="D54" s="56" t="s">
        <v>65</v>
      </c>
      <c r="E54" s="75">
        <f t="shared" si="39"/>
        <v>4584</v>
      </c>
      <c r="F54" s="79">
        <f>7545.7*0.3</f>
        <v>2264</v>
      </c>
      <c r="G54" s="80">
        <f>4102.47*0.3</f>
        <v>1231</v>
      </c>
      <c r="H54" s="81">
        <f>3628.87*0.3</f>
        <v>1089</v>
      </c>
      <c r="I54" s="102"/>
      <c r="J54" s="102"/>
      <c r="K54" s="102"/>
      <c r="L54" s="103">
        <f t="shared" si="46"/>
        <v>0</v>
      </c>
      <c r="M54" s="113">
        <f t="shared" si="47"/>
        <v>0</v>
      </c>
      <c r="N54" s="113">
        <f t="shared" si="40"/>
        <v>0</v>
      </c>
      <c r="O54" s="113">
        <f t="shared" si="48"/>
        <v>0</v>
      </c>
      <c r="P54" s="114">
        <f t="shared" si="49"/>
        <v>0</v>
      </c>
    </row>
    <row r="55" spans="1:16" s="11" customFormat="1" ht="31.5" outlineLevel="1" x14ac:dyDescent="0.25">
      <c r="A55" s="126"/>
      <c r="B55" s="25" t="s">
        <v>152</v>
      </c>
      <c r="C55" s="49" t="s">
        <v>178</v>
      </c>
      <c r="D55" s="56" t="s">
        <v>65</v>
      </c>
      <c r="E55" s="75">
        <f t="shared" si="39"/>
        <v>142085</v>
      </c>
      <c r="F55" s="79">
        <v>70134</v>
      </c>
      <c r="G55" s="80">
        <v>38468</v>
      </c>
      <c r="H55" s="81">
        <v>33483</v>
      </c>
      <c r="I55" s="102"/>
      <c r="J55" s="102"/>
      <c r="K55" s="102"/>
      <c r="L55" s="103">
        <f t="shared" ref="L55" si="50">SUM(I55:K55)</f>
        <v>0</v>
      </c>
      <c r="M55" s="113">
        <f t="shared" ref="M55" si="51">E55*I55</f>
        <v>0</v>
      </c>
      <c r="N55" s="113">
        <f t="shared" ref="N55" si="52">E55*J55</f>
        <v>0</v>
      </c>
      <c r="O55" s="113">
        <f t="shared" ref="O55" si="53">K55*E55</f>
        <v>0</v>
      </c>
      <c r="P55" s="114">
        <f t="shared" ref="P55" si="54">L55*E55</f>
        <v>0</v>
      </c>
    </row>
    <row r="56" spans="1:16" s="11" customFormat="1" outlineLevel="1" x14ac:dyDescent="0.25">
      <c r="A56" s="126"/>
      <c r="B56" s="25" t="s">
        <v>153</v>
      </c>
      <c r="C56" s="49" t="s">
        <v>66</v>
      </c>
      <c r="D56" s="56" t="s">
        <v>65</v>
      </c>
      <c r="E56" s="75">
        <f t="shared" si="39"/>
        <v>113127</v>
      </c>
      <c r="F56" s="79">
        <v>55876</v>
      </c>
      <c r="G56" s="80">
        <v>30379</v>
      </c>
      <c r="H56" s="81">
        <v>26872</v>
      </c>
      <c r="I56" s="102"/>
      <c r="J56" s="102"/>
      <c r="K56" s="102"/>
      <c r="L56" s="103">
        <f t="shared" si="46"/>
        <v>0</v>
      </c>
      <c r="M56" s="113">
        <f t="shared" si="47"/>
        <v>0</v>
      </c>
      <c r="N56" s="113">
        <f t="shared" si="40"/>
        <v>0</v>
      </c>
      <c r="O56" s="113">
        <f t="shared" si="48"/>
        <v>0</v>
      </c>
      <c r="P56" s="114">
        <f t="shared" si="49"/>
        <v>0</v>
      </c>
    </row>
    <row r="57" spans="1:16" s="11" customFormat="1" outlineLevel="1" x14ac:dyDescent="0.25">
      <c r="A57" s="126"/>
      <c r="B57" s="25" t="s">
        <v>154</v>
      </c>
      <c r="C57" s="49" t="s">
        <v>67</v>
      </c>
      <c r="D57" s="56" t="s">
        <v>65</v>
      </c>
      <c r="E57" s="75">
        <f t="shared" si="39"/>
        <v>5608</v>
      </c>
      <c r="F57" s="79">
        <v>2770</v>
      </c>
      <c r="G57" s="80">
        <v>1506</v>
      </c>
      <c r="H57" s="81">
        <v>1332</v>
      </c>
      <c r="I57" s="102"/>
      <c r="J57" s="102"/>
      <c r="K57" s="102"/>
      <c r="L57" s="103">
        <f t="shared" si="46"/>
        <v>0</v>
      </c>
      <c r="M57" s="113">
        <f t="shared" si="47"/>
        <v>0</v>
      </c>
      <c r="N57" s="113">
        <f t="shared" si="40"/>
        <v>0</v>
      </c>
      <c r="O57" s="113">
        <f t="shared" si="48"/>
        <v>0</v>
      </c>
      <c r="P57" s="114">
        <f t="shared" si="49"/>
        <v>0</v>
      </c>
    </row>
    <row r="58" spans="1:16" s="11" customFormat="1" outlineLevel="1" x14ac:dyDescent="0.25">
      <c r="A58" s="126"/>
      <c r="B58" s="25" t="s">
        <v>155</v>
      </c>
      <c r="C58" s="49" t="s">
        <v>68</v>
      </c>
      <c r="D58" s="56" t="s">
        <v>65</v>
      </c>
      <c r="E58" s="75">
        <f t="shared" si="39"/>
        <v>16592</v>
      </c>
      <c r="F58" s="79">
        <v>8195</v>
      </c>
      <c r="G58" s="80">
        <v>4456</v>
      </c>
      <c r="H58" s="81">
        <v>3941</v>
      </c>
      <c r="I58" s="102"/>
      <c r="J58" s="102"/>
      <c r="K58" s="102"/>
      <c r="L58" s="103">
        <f t="shared" si="46"/>
        <v>0</v>
      </c>
      <c r="M58" s="113">
        <f t="shared" si="47"/>
        <v>0</v>
      </c>
      <c r="N58" s="113">
        <f t="shared" si="40"/>
        <v>0</v>
      </c>
      <c r="O58" s="113">
        <f t="shared" si="48"/>
        <v>0</v>
      </c>
      <c r="P58" s="114">
        <f t="shared" si="49"/>
        <v>0</v>
      </c>
    </row>
    <row r="59" spans="1:16" s="11" customFormat="1" outlineLevel="1" x14ac:dyDescent="0.25">
      <c r="A59" s="126"/>
      <c r="B59" s="25" t="s">
        <v>156</v>
      </c>
      <c r="C59" s="49" t="s">
        <v>171</v>
      </c>
      <c r="D59" s="56" t="s">
        <v>65</v>
      </c>
      <c r="E59" s="75">
        <f t="shared" si="39"/>
        <v>33154</v>
      </c>
      <c r="F59" s="79">
        <v>16365</v>
      </c>
      <c r="G59" s="80">
        <v>8976</v>
      </c>
      <c r="H59" s="81">
        <v>7813</v>
      </c>
      <c r="I59" s="102"/>
      <c r="J59" s="102"/>
      <c r="K59" s="102"/>
      <c r="L59" s="103">
        <f t="shared" ref="L59:L61" si="55">SUM(I59:K59)</f>
        <v>0</v>
      </c>
      <c r="M59" s="113">
        <f t="shared" ref="M59:M61" si="56">E59*I59</f>
        <v>0</v>
      </c>
      <c r="N59" s="113">
        <f t="shared" ref="N59:N61" si="57">E59*J59</f>
        <v>0</v>
      </c>
      <c r="O59" s="113">
        <f t="shared" ref="O59:O61" si="58">K59*E59</f>
        <v>0</v>
      </c>
      <c r="P59" s="114">
        <f t="shared" ref="P59:P61" si="59">L59*E59</f>
        <v>0</v>
      </c>
    </row>
    <row r="60" spans="1:16" s="11" customFormat="1" outlineLevel="1" x14ac:dyDescent="0.25">
      <c r="A60" s="126"/>
      <c r="B60" s="25" t="s">
        <v>157</v>
      </c>
      <c r="C60" s="49" t="s">
        <v>172</v>
      </c>
      <c r="D60" s="56" t="s">
        <v>65</v>
      </c>
      <c r="E60" s="75">
        <f t="shared" si="39"/>
        <v>43152</v>
      </c>
      <c r="F60" s="79">
        <v>21300</v>
      </c>
      <c r="G60" s="80">
        <v>11683</v>
      </c>
      <c r="H60" s="81">
        <v>10169</v>
      </c>
      <c r="I60" s="102"/>
      <c r="J60" s="102"/>
      <c r="K60" s="102"/>
      <c r="L60" s="103">
        <f t="shared" si="55"/>
        <v>0</v>
      </c>
      <c r="M60" s="113">
        <f t="shared" si="56"/>
        <v>0</v>
      </c>
      <c r="N60" s="113">
        <f t="shared" si="57"/>
        <v>0</v>
      </c>
      <c r="O60" s="113">
        <f t="shared" si="58"/>
        <v>0</v>
      </c>
      <c r="P60" s="114">
        <f t="shared" si="59"/>
        <v>0</v>
      </c>
    </row>
    <row r="61" spans="1:16" s="11" customFormat="1" outlineLevel="1" x14ac:dyDescent="0.25">
      <c r="A61" s="126"/>
      <c r="B61" s="25" t="s">
        <v>158</v>
      </c>
      <c r="C61" s="49" t="s">
        <v>173</v>
      </c>
      <c r="D61" s="56" t="s">
        <v>65</v>
      </c>
      <c r="E61" s="75">
        <f t="shared" si="39"/>
        <v>65779</v>
      </c>
      <c r="F61" s="79">
        <v>32469</v>
      </c>
      <c r="G61" s="80">
        <v>17809</v>
      </c>
      <c r="H61" s="81">
        <v>15501</v>
      </c>
      <c r="I61" s="102"/>
      <c r="J61" s="102"/>
      <c r="K61" s="102"/>
      <c r="L61" s="103">
        <f t="shared" si="55"/>
        <v>0</v>
      </c>
      <c r="M61" s="113">
        <f t="shared" si="56"/>
        <v>0</v>
      </c>
      <c r="N61" s="113">
        <f t="shared" si="57"/>
        <v>0</v>
      </c>
      <c r="O61" s="113">
        <f t="shared" si="58"/>
        <v>0</v>
      </c>
      <c r="P61" s="114">
        <f t="shared" si="59"/>
        <v>0</v>
      </c>
    </row>
    <row r="62" spans="1:16" s="11" customFormat="1" ht="31.5" outlineLevel="1" x14ac:dyDescent="0.25">
      <c r="A62" s="126"/>
      <c r="B62" s="25" t="s">
        <v>159</v>
      </c>
      <c r="C62" s="49" t="s">
        <v>69</v>
      </c>
      <c r="D62" s="56" t="s">
        <v>65</v>
      </c>
      <c r="E62" s="75">
        <f t="shared" si="39"/>
        <v>119973</v>
      </c>
      <c r="F62" s="79">
        <v>59258</v>
      </c>
      <c r="G62" s="80">
        <v>32217</v>
      </c>
      <c r="H62" s="81">
        <v>28498</v>
      </c>
      <c r="I62" s="102"/>
      <c r="J62" s="102"/>
      <c r="K62" s="102"/>
      <c r="L62" s="103">
        <f t="shared" si="46"/>
        <v>0</v>
      </c>
      <c r="M62" s="113">
        <f t="shared" si="47"/>
        <v>0</v>
      </c>
      <c r="N62" s="113">
        <f t="shared" si="40"/>
        <v>0</v>
      </c>
      <c r="O62" s="113">
        <f t="shared" si="48"/>
        <v>0</v>
      </c>
      <c r="P62" s="114">
        <f t="shared" si="49"/>
        <v>0</v>
      </c>
    </row>
    <row r="63" spans="1:16" s="11" customFormat="1" outlineLevel="1" x14ac:dyDescent="0.25">
      <c r="A63" s="126"/>
      <c r="B63" s="25" t="s">
        <v>160</v>
      </c>
      <c r="C63" s="49" t="s">
        <v>70</v>
      </c>
      <c r="D63" s="56" t="s">
        <v>65</v>
      </c>
      <c r="E63" s="75">
        <f t="shared" si="39"/>
        <v>5918</v>
      </c>
      <c r="F63" s="79">
        <v>2923</v>
      </c>
      <c r="G63" s="80">
        <v>1589</v>
      </c>
      <c r="H63" s="81">
        <v>1406</v>
      </c>
      <c r="I63" s="102"/>
      <c r="J63" s="102"/>
      <c r="K63" s="102"/>
      <c r="L63" s="103">
        <f t="shared" si="46"/>
        <v>0</v>
      </c>
      <c r="M63" s="113">
        <f t="shared" si="47"/>
        <v>0</v>
      </c>
      <c r="N63" s="113">
        <f t="shared" si="40"/>
        <v>0</v>
      </c>
      <c r="O63" s="113">
        <f t="shared" si="48"/>
        <v>0</v>
      </c>
      <c r="P63" s="114">
        <f t="shared" si="49"/>
        <v>0</v>
      </c>
    </row>
    <row r="64" spans="1:16" s="11" customFormat="1" outlineLevel="1" x14ac:dyDescent="0.25">
      <c r="A64" s="126"/>
      <c r="B64" s="25" t="s">
        <v>161</v>
      </c>
      <c r="C64" s="49" t="s">
        <v>71</v>
      </c>
      <c r="D64" s="56" t="s">
        <v>65</v>
      </c>
      <c r="E64" s="75">
        <f t="shared" si="39"/>
        <v>154859</v>
      </c>
      <c r="F64" s="79">
        <v>76488</v>
      </c>
      <c r="G64" s="80">
        <v>41586</v>
      </c>
      <c r="H64" s="81">
        <v>36785</v>
      </c>
      <c r="I64" s="102"/>
      <c r="J64" s="102"/>
      <c r="K64" s="102"/>
      <c r="L64" s="103">
        <f t="shared" si="46"/>
        <v>0</v>
      </c>
      <c r="M64" s="113">
        <f t="shared" si="47"/>
        <v>0</v>
      </c>
      <c r="N64" s="113">
        <f t="shared" si="40"/>
        <v>0</v>
      </c>
      <c r="O64" s="113">
        <f t="shared" si="48"/>
        <v>0</v>
      </c>
      <c r="P64" s="114">
        <f t="shared" si="49"/>
        <v>0</v>
      </c>
    </row>
    <row r="65" spans="1:16" s="11" customFormat="1" outlineLevel="1" x14ac:dyDescent="0.25">
      <c r="A65" s="126"/>
      <c r="B65" s="25" t="s">
        <v>162</v>
      </c>
      <c r="C65" s="49" t="s">
        <v>72</v>
      </c>
      <c r="D65" s="56" t="s">
        <v>65</v>
      </c>
      <c r="E65" s="75">
        <f t="shared" si="39"/>
        <v>12028</v>
      </c>
      <c r="F65" s="79">
        <v>5941</v>
      </c>
      <c r="G65" s="80">
        <v>3230</v>
      </c>
      <c r="H65" s="81">
        <v>2857</v>
      </c>
      <c r="I65" s="102"/>
      <c r="J65" s="102"/>
      <c r="K65" s="102"/>
      <c r="L65" s="103">
        <f t="shared" si="46"/>
        <v>0</v>
      </c>
      <c r="M65" s="113">
        <f t="shared" si="47"/>
        <v>0</v>
      </c>
      <c r="N65" s="113">
        <f t="shared" si="40"/>
        <v>0</v>
      </c>
      <c r="O65" s="113">
        <f t="shared" si="48"/>
        <v>0</v>
      </c>
      <c r="P65" s="114">
        <f t="shared" si="49"/>
        <v>0</v>
      </c>
    </row>
    <row r="66" spans="1:16" s="11" customFormat="1" outlineLevel="1" x14ac:dyDescent="0.25">
      <c r="A66" s="126"/>
      <c r="B66" s="25" t="s">
        <v>163</v>
      </c>
      <c r="C66" s="49" t="s">
        <v>73</v>
      </c>
      <c r="D66" s="56" t="s">
        <v>65</v>
      </c>
      <c r="E66" s="75">
        <f t="shared" si="39"/>
        <v>9670</v>
      </c>
      <c r="F66" s="79">
        <v>4776</v>
      </c>
      <c r="G66" s="80">
        <v>2597</v>
      </c>
      <c r="H66" s="81">
        <v>2297</v>
      </c>
      <c r="I66" s="102"/>
      <c r="J66" s="102"/>
      <c r="K66" s="102"/>
      <c r="L66" s="103">
        <f t="shared" si="46"/>
        <v>0</v>
      </c>
      <c r="M66" s="113">
        <f t="shared" si="47"/>
        <v>0</v>
      </c>
      <c r="N66" s="113">
        <f t="shared" si="40"/>
        <v>0</v>
      </c>
      <c r="O66" s="113">
        <f t="shared" si="48"/>
        <v>0</v>
      </c>
      <c r="P66" s="114">
        <f t="shared" si="49"/>
        <v>0</v>
      </c>
    </row>
    <row r="67" spans="1:16" s="11" customFormat="1" ht="31.5" outlineLevel="1" x14ac:dyDescent="0.25">
      <c r="A67" s="126"/>
      <c r="B67" s="25" t="s">
        <v>174</v>
      </c>
      <c r="C67" s="49" t="s">
        <v>74</v>
      </c>
      <c r="D67" s="56" t="s">
        <v>65</v>
      </c>
      <c r="E67" s="75">
        <f t="shared" si="39"/>
        <v>9631</v>
      </c>
      <c r="F67" s="79">
        <v>4757</v>
      </c>
      <c r="G67" s="80">
        <v>2586</v>
      </c>
      <c r="H67" s="81">
        <v>2288</v>
      </c>
      <c r="I67" s="102"/>
      <c r="J67" s="102"/>
      <c r="K67" s="102"/>
      <c r="L67" s="103">
        <f t="shared" si="46"/>
        <v>0</v>
      </c>
      <c r="M67" s="113">
        <f t="shared" si="47"/>
        <v>0</v>
      </c>
      <c r="N67" s="113">
        <f t="shared" si="40"/>
        <v>0</v>
      </c>
      <c r="O67" s="113">
        <f t="shared" si="48"/>
        <v>0</v>
      </c>
      <c r="P67" s="114">
        <f t="shared" si="49"/>
        <v>0</v>
      </c>
    </row>
    <row r="68" spans="1:16" s="11" customFormat="1" ht="31.5" outlineLevel="1" x14ac:dyDescent="0.25">
      <c r="A68" s="126"/>
      <c r="B68" s="25" t="s">
        <v>175</v>
      </c>
      <c r="C68" s="49" t="s">
        <v>75</v>
      </c>
      <c r="D68" s="56" t="s">
        <v>65</v>
      </c>
      <c r="E68" s="75">
        <f t="shared" si="39"/>
        <v>25293</v>
      </c>
      <c r="F68" s="79">
        <v>12493</v>
      </c>
      <c r="G68" s="80">
        <v>6792</v>
      </c>
      <c r="H68" s="81">
        <v>6008</v>
      </c>
      <c r="I68" s="102"/>
      <c r="J68" s="102"/>
      <c r="K68" s="102"/>
      <c r="L68" s="103">
        <f t="shared" si="46"/>
        <v>0</v>
      </c>
      <c r="M68" s="113">
        <f t="shared" si="47"/>
        <v>0</v>
      </c>
      <c r="N68" s="113">
        <f t="shared" si="40"/>
        <v>0</v>
      </c>
      <c r="O68" s="113">
        <f t="shared" si="48"/>
        <v>0</v>
      </c>
      <c r="P68" s="114">
        <f t="shared" si="49"/>
        <v>0</v>
      </c>
    </row>
    <row r="69" spans="1:16" s="11" customFormat="1" outlineLevel="1" x14ac:dyDescent="0.25">
      <c r="A69" s="126"/>
      <c r="B69" s="25" t="s">
        <v>176</v>
      </c>
      <c r="C69" s="49" t="s">
        <v>76</v>
      </c>
      <c r="D69" s="56" t="s">
        <v>65</v>
      </c>
      <c r="E69" s="75">
        <f t="shared" si="39"/>
        <v>61805</v>
      </c>
      <c r="F69" s="79">
        <v>30527</v>
      </c>
      <c r="G69" s="80">
        <v>16597</v>
      </c>
      <c r="H69" s="81">
        <v>14681</v>
      </c>
      <c r="I69" s="102"/>
      <c r="J69" s="102"/>
      <c r="K69" s="102"/>
      <c r="L69" s="103">
        <f t="shared" si="46"/>
        <v>0</v>
      </c>
      <c r="M69" s="113">
        <f t="shared" si="47"/>
        <v>0</v>
      </c>
      <c r="N69" s="113">
        <f t="shared" si="40"/>
        <v>0</v>
      </c>
      <c r="O69" s="113">
        <f t="shared" si="48"/>
        <v>0</v>
      </c>
      <c r="P69" s="114">
        <f t="shared" si="49"/>
        <v>0</v>
      </c>
    </row>
    <row r="70" spans="1:16" s="11" customFormat="1" outlineLevel="1" x14ac:dyDescent="0.25">
      <c r="A70" s="126"/>
      <c r="B70" s="25" t="s">
        <v>179</v>
      </c>
      <c r="C70" s="49" t="s">
        <v>82</v>
      </c>
      <c r="D70" s="56" t="s">
        <v>85</v>
      </c>
      <c r="E70" s="75">
        <f t="shared" si="39"/>
        <v>3</v>
      </c>
      <c r="F70" s="79">
        <v>1</v>
      </c>
      <c r="G70" s="80">
        <v>1</v>
      </c>
      <c r="H70" s="81">
        <v>1</v>
      </c>
      <c r="I70" s="102"/>
      <c r="J70" s="102"/>
      <c r="K70" s="102"/>
      <c r="L70" s="103">
        <f t="shared" ref="L70" si="60">SUM(I70:K70)</f>
        <v>0</v>
      </c>
      <c r="M70" s="113">
        <f t="shared" ref="M70" si="61">E70*I70</f>
        <v>0</v>
      </c>
      <c r="N70" s="113">
        <f t="shared" si="40"/>
        <v>0</v>
      </c>
      <c r="O70" s="113">
        <f t="shared" ref="O70" si="62">K70*E70</f>
        <v>0</v>
      </c>
      <c r="P70" s="114">
        <f t="shared" ref="P70" si="63">L70*E70</f>
        <v>0</v>
      </c>
    </row>
    <row r="71" spans="1:16" s="10" customFormat="1" ht="29.25" customHeight="1" x14ac:dyDescent="0.25">
      <c r="A71" s="125" t="s">
        <v>128</v>
      </c>
      <c r="B71" s="27" t="s">
        <v>164</v>
      </c>
      <c r="C71" s="43" t="s">
        <v>106</v>
      </c>
      <c r="D71" s="53"/>
      <c r="E71" s="72"/>
      <c r="F71" s="73"/>
      <c r="G71" s="74"/>
      <c r="H71" s="88"/>
      <c r="I71" s="112"/>
      <c r="J71" s="112"/>
      <c r="K71" s="112"/>
      <c r="L71" s="112"/>
      <c r="M71" s="101">
        <f>SUM(M72)</f>
        <v>0</v>
      </c>
      <c r="N71" s="101">
        <f t="shared" ref="N71:P71" si="64">SUM(N72)</f>
        <v>0</v>
      </c>
      <c r="O71" s="101">
        <f t="shared" si="64"/>
        <v>0</v>
      </c>
      <c r="P71" s="101">
        <f t="shared" si="64"/>
        <v>0</v>
      </c>
    </row>
    <row r="72" spans="1:16" s="10" customFormat="1" ht="26.25" customHeight="1" outlineLevel="1" x14ac:dyDescent="0.25">
      <c r="A72" s="124"/>
      <c r="B72" s="115" t="s">
        <v>166</v>
      </c>
      <c r="C72" s="116" t="s">
        <v>165</v>
      </c>
      <c r="D72" s="117"/>
      <c r="E72" s="118"/>
      <c r="F72" s="119"/>
      <c r="G72" s="120"/>
      <c r="H72" s="121"/>
      <c r="I72" s="122"/>
      <c r="J72" s="122"/>
      <c r="K72" s="122"/>
      <c r="L72" s="122"/>
      <c r="M72" s="123">
        <f>SUM(M73:M74)</f>
        <v>0</v>
      </c>
      <c r="N72" s="123">
        <f t="shared" ref="N72:P72" si="65">SUM(N73:N74)</f>
        <v>0</v>
      </c>
      <c r="O72" s="123">
        <f t="shared" si="65"/>
        <v>0</v>
      </c>
      <c r="P72" s="123">
        <f t="shared" si="65"/>
        <v>0</v>
      </c>
    </row>
    <row r="73" spans="1:16" s="11" customFormat="1" ht="31.5" outlineLevel="1" x14ac:dyDescent="0.25">
      <c r="A73" s="44"/>
      <c r="B73" s="25" t="s">
        <v>167</v>
      </c>
      <c r="C73" s="49" t="s">
        <v>114</v>
      </c>
      <c r="D73" s="56" t="s">
        <v>65</v>
      </c>
      <c r="E73" s="75">
        <f t="shared" ref="E73:E74" si="66">SUM(F73:H73)</f>
        <v>30825</v>
      </c>
      <c r="F73" s="79">
        <f>25*616</f>
        <v>15400</v>
      </c>
      <c r="G73" s="80">
        <f>25*322</f>
        <v>8050</v>
      </c>
      <c r="H73" s="81">
        <f>25*295</f>
        <v>7375</v>
      </c>
      <c r="I73" s="102"/>
      <c r="J73" s="102"/>
      <c r="K73" s="102"/>
      <c r="L73" s="103">
        <f t="shared" ref="L73:L74" si="67">SUM(I73:K73)</f>
        <v>0</v>
      </c>
      <c r="M73" s="113">
        <f t="shared" ref="M73:M74" si="68">E73*I73</f>
        <v>0</v>
      </c>
      <c r="N73" s="113">
        <f t="shared" ref="N73:N74" si="69">E73*J73</f>
        <v>0</v>
      </c>
      <c r="O73" s="113">
        <f t="shared" ref="O73:O74" si="70">K73*E73</f>
        <v>0</v>
      </c>
      <c r="P73" s="114">
        <f t="shared" ref="P73:P74" si="71">L73*E73</f>
        <v>0</v>
      </c>
    </row>
    <row r="74" spans="1:16" s="11" customFormat="1" ht="32.25" outlineLevel="1" thickBot="1" x14ac:dyDescent="0.3">
      <c r="A74" s="50"/>
      <c r="B74" s="25" t="s">
        <v>168</v>
      </c>
      <c r="C74" s="51" t="s">
        <v>107</v>
      </c>
      <c r="D74" s="58" t="s">
        <v>65</v>
      </c>
      <c r="E74" s="89">
        <f t="shared" si="66"/>
        <v>30825</v>
      </c>
      <c r="F74" s="79">
        <f>25*616</f>
        <v>15400</v>
      </c>
      <c r="G74" s="80">
        <f>25*322</f>
        <v>8050</v>
      </c>
      <c r="H74" s="81">
        <f>25*295</f>
        <v>7375</v>
      </c>
      <c r="I74" s="102"/>
      <c r="J74" s="102"/>
      <c r="K74" s="102"/>
      <c r="L74" s="103">
        <f t="shared" si="67"/>
        <v>0</v>
      </c>
      <c r="M74" s="113">
        <f t="shared" si="68"/>
        <v>0</v>
      </c>
      <c r="N74" s="113">
        <f t="shared" si="69"/>
        <v>0</v>
      </c>
      <c r="O74" s="113">
        <f t="shared" si="70"/>
        <v>0</v>
      </c>
      <c r="P74" s="114">
        <f t="shared" si="71"/>
        <v>0</v>
      </c>
    </row>
    <row r="75" spans="1:16" s="11" customFormat="1" ht="21" customHeight="1" x14ac:dyDescent="0.25">
      <c r="A75" s="41"/>
      <c r="B75" s="41"/>
      <c r="C75" s="42" t="s">
        <v>51</v>
      </c>
      <c r="D75" s="52"/>
      <c r="E75" s="90"/>
      <c r="F75" s="91"/>
      <c r="G75" s="91"/>
      <c r="H75" s="91"/>
      <c r="I75" s="105"/>
      <c r="J75" s="105"/>
      <c r="K75" s="105"/>
      <c r="L75" s="106"/>
      <c r="M75" s="107">
        <f>M19</f>
        <v>0</v>
      </c>
      <c r="N75" s="107">
        <f t="shared" ref="N75:P75" si="72">N19</f>
        <v>0</v>
      </c>
      <c r="O75" s="107">
        <f t="shared" si="72"/>
        <v>0</v>
      </c>
      <c r="P75" s="107">
        <f t="shared" si="72"/>
        <v>0</v>
      </c>
    </row>
    <row r="76" spans="1:16" s="11" customFormat="1" ht="21.75" customHeight="1" x14ac:dyDescent="0.25">
      <c r="A76" s="24"/>
      <c r="B76" s="25"/>
      <c r="C76" s="31" t="s">
        <v>52</v>
      </c>
      <c r="D76" s="26"/>
      <c r="E76" s="80"/>
      <c r="F76" s="80"/>
      <c r="G76" s="80"/>
      <c r="H76" s="80"/>
      <c r="I76" s="108"/>
      <c r="J76" s="108"/>
      <c r="K76" s="108"/>
      <c r="L76" s="103"/>
      <c r="M76" s="104"/>
      <c r="N76" s="104"/>
      <c r="O76" s="104"/>
      <c r="P76" s="104">
        <f>ROUND(P75*20/120,2)</f>
        <v>0</v>
      </c>
    </row>
    <row r="77" spans="1:16" x14ac:dyDescent="0.25">
      <c r="A77" s="29"/>
      <c r="B77" s="190" t="s">
        <v>169</v>
      </c>
      <c r="C77" s="191"/>
      <c r="D77" s="191"/>
      <c r="E77" s="191"/>
      <c r="F77" s="191"/>
      <c r="G77" s="191"/>
      <c r="H77" s="191"/>
      <c r="I77" s="191"/>
      <c r="J77" s="191"/>
      <c r="K77" s="191"/>
      <c r="L77" s="191"/>
      <c r="M77" s="191"/>
      <c r="N77" s="191"/>
      <c r="O77" s="191"/>
      <c r="P77" s="191"/>
    </row>
    <row r="78" spans="1:16" x14ac:dyDescent="0.25">
      <c r="A78" s="30"/>
      <c r="B78" s="182" t="s">
        <v>11</v>
      </c>
      <c r="C78" s="183"/>
      <c r="D78" s="183"/>
      <c r="E78" s="183"/>
      <c r="F78" s="183"/>
      <c r="G78" s="183"/>
      <c r="H78" s="183"/>
      <c r="I78" s="183"/>
      <c r="J78" s="183"/>
      <c r="K78" s="183"/>
      <c r="L78" s="183"/>
      <c r="M78" s="183"/>
      <c r="N78" s="183"/>
      <c r="O78" s="183"/>
      <c r="P78" s="183"/>
    </row>
    <row r="79" spans="1:16" ht="32.25" customHeight="1" x14ac:dyDescent="0.25">
      <c r="A79" s="30"/>
      <c r="B79" s="182" t="s">
        <v>19</v>
      </c>
      <c r="C79" s="183"/>
      <c r="D79" s="183"/>
      <c r="E79" s="183"/>
      <c r="F79" s="183"/>
      <c r="G79" s="183"/>
      <c r="H79" s="183"/>
      <c r="I79" s="183"/>
      <c r="J79" s="183"/>
      <c r="K79" s="183"/>
      <c r="L79" s="183"/>
      <c r="M79" s="183"/>
      <c r="N79" s="183"/>
      <c r="O79" s="183"/>
      <c r="P79" s="183"/>
    </row>
    <row r="80" spans="1:16" ht="33.75" customHeight="1" x14ac:dyDescent="0.25">
      <c r="A80" s="30"/>
      <c r="B80" s="182" t="s">
        <v>20</v>
      </c>
      <c r="C80" s="183"/>
      <c r="D80" s="183"/>
      <c r="E80" s="183"/>
      <c r="F80" s="183"/>
      <c r="G80" s="183"/>
      <c r="H80" s="183"/>
      <c r="I80" s="183"/>
      <c r="J80" s="183"/>
      <c r="K80" s="183"/>
      <c r="L80" s="183"/>
      <c r="M80" s="183"/>
      <c r="N80" s="183"/>
      <c r="O80" s="183"/>
      <c r="P80" s="183"/>
    </row>
    <row r="81" spans="1:16" ht="33" customHeight="1" x14ac:dyDescent="0.25">
      <c r="A81" s="30"/>
      <c r="B81" s="182" t="s">
        <v>21</v>
      </c>
      <c r="C81" s="183"/>
      <c r="D81" s="183"/>
      <c r="E81" s="183"/>
      <c r="F81" s="183"/>
      <c r="G81" s="183"/>
      <c r="H81" s="183"/>
      <c r="I81" s="183"/>
      <c r="J81" s="183"/>
      <c r="K81" s="183"/>
      <c r="L81" s="183"/>
      <c r="M81" s="183"/>
      <c r="N81" s="183"/>
      <c r="O81" s="183"/>
      <c r="P81" s="183"/>
    </row>
    <row r="82" spans="1:16" ht="32.25" customHeight="1" x14ac:dyDescent="0.25">
      <c r="A82" s="30"/>
      <c r="B82" s="182" t="s">
        <v>122</v>
      </c>
      <c r="C82" s="183"/>
      <c r="D82" s="183"/>
      <c r="E82" s="183"/>
      <c r="F82" s="183"/>
      <c r="G82" s="183"/>
      <c r="H82" s="183"/>
      <c r="I82" s="183"/>
      <c r="J82" s="183"/>
      <c r="K82" s="183"/>
      <c r="L82" s="183"/>
      <c r="M82" s="183"/>
      <c r="N82" s="183"/>
      <c r="O82" s="183"/>
      <c r="P82" s="183"/>
    </row>
    <row r="83" spans="1:16" x14ac:dyDescent="0.25">
      <c r="A83" s="30"/>
      <c r="B83" s="182" t="s">
        <v>22</v>
      </c>
      <c r="C83" s="183"/>
      <c r="D83" s="183"/>
      <c r="E83" s="183"/>
      <c r="F83" s="183"/>
      <c r="G83" s="183"/>
      <c r="H83" s="183"/>
      <c r="I83" s="183"/>
      <c r="J83" s="183"/>
      <c r="K83" s="183"/>
      <c r="L83" s="183"/>
      <c r="M83" s="183"/>
      <c r="N83" s="183"/>
      <c r="O83" s="183"/>
      <c r="P83" s="183"/>
    </row>
    <row r="84" spans="1:16" x14ac:dyDescent="0.25">
      <c r="A84" s="30"/>
      <c r="B84" s="192" t="s">
        <v>24</v>
      </c>
      <c r="C84" s="193"/>
      <c r="D84" s="193"/>
      <c r="E84" s="193"/>
      <c r="F84" s="193"/>
      <c r="G84" s="193"/>
      <c r="H84" s="193"/>
      <c r="I84" s="193"/>
      <c r="J84" s="193"/>
      <c r="K84" s="193"/>
      <c r="L84" s="193"/>
      <c r="M84" s="193"/>
      <c r="N84" s="193"/>
      <c r="O84" s="193"/>
      <c r="P84" s="193"/>
    </row>
    <row r="85" spans="1:16" ht="44.25" customHeight="1" x14ac:dyDescent="0.25">
      <c r="A85" s="30"/>
      <c r="B85" s="182" t="s">
        <v>58</v>
      </c>
      <c r="C85" s="183"/>
      <c r="D85" s="183"/>
      <c r="E85" s="183"/>
      <c r="F85" s="183"/>
      <c r="G85" s="183"/>
      <c r="H85" s="183"/>
      <c r="I85" s="183"/>
      <c r="J85" s="183"/>
      <c r="K85" s="183"/>
      <c r="L85" s="183"/>
      <c r="M85" s="183"/>
      <c r="N85" s="183"/>
      <c r="O85" s="183"/>
      <c r="P85" s="183"/>
    </row>
    <row r="86" spans="1:16" x14ac:dyDescent="0.25">
      <c r="A86" s="30"/>
      <c r="B86" s="192" t="s">
        <v>23</v>
      </c>
      <c r="C86" s="193"/>
      <c r="D86" s="193"/>
      <c r="E86" s="193"/>
      <c r="F86" s="193"/>
      <c r="G86" s="193"/>
      <c r="H86" s="193"/>
      <c r="I86" s="193"/>
      <c r="J86" s="193"/>
      <c r="K86" s="193"/>
      <c r="L86" s="193"/>
      <c r="M86" s="193"/>
      <c r="N86" s="193"/>
      <c r="O86" s="193"/>
      <c r="P86" s="193"/>
    </row>
    <row r="87" spans="1:16" ht="32.25" customHeight="1" x14ac:dyDescent="0.25">
      <c r="A87" s="30"/>
      <c r="B87" s="182" t="s">
        <v>59</v>
      </c>
      <c r="C87" s="183"/>
      <c r="D87" s="183"/>
      <c r="E87" s="183"/>
      <c r="F87" s="183"/>
      <c r="G87" s="183"/>
      <c r="H87" s="183"/>
      <c r="I87" s="183"/>
      <c r="J87" s="183"/>
      <c r="K87" s="183"/>
      <c r="L87" s="183"/>
      <c r="M87" s="183"/>
      <c r="N87" s="183"/>
      <c r="O87" s="183"/>
      <c r="P87" s="183"/>
    </row>
    <row r="88" spans="1:16" ht="48.75" customHeight="1" x14ac:dyDescent="0.25">
      <c r="A88" s="30"/>
      <c r="B88" s="182" t="s">
        <v>60</v>
      </c>
      <c r="C88" s="183"/>
      <c r="D88" s="183"/>
      <c r="E88" s="183"/>
      <c r="F88" s="183"/>
      <c r="G88" s="183"/>
      <c r="H88" s="183"/>
      <c r="I88" s="183"/>
      <c r="J88" s="183"/>
      <c r="K88" s="183"/>
      <c r="L88" s="183"/>
      <c r="M88" s="183"/>
      <c r="N88" s="183"/>
      <c r="O88" s="183"/>
      <c r="P88" s="183"/>
    </row>
    <row r="89" spans="1:16" ht="18" customHeight="1" x14ac:dyDescent="0.25">
      <c r="A89" s="30"/>
      <c r="B89" s="7"/>
      <c r="C89" s="7"/>
      <c r="D89" s="7"/>
      <c r="E89" s="92"/>
      <c r="F89" s="92"/>
      <c r="G89" s="92"/>
      <c r="H89" s="92"/>
      <c r="I89" s="92"/>
      <c r="J89" s="92"/>
      <c r="K89" s="92"/>
      <c r="L89" s="92"/>
      <c r="M89" s="92"/>
      <c r="N89" s="92"/>
      <c r="O89" s="92"/>
      <c r="P89" s="92"/>
    </row>
    <row r="90" spans="1:16" s="38" customFormat="1" ht="11.45" customHeight="1" x14ac:dyDescent="0.2">
      <c r="A90" s="37" t="s">
        <v>38</v>
      </c>
      <c r="B90" s="37"/>
      <c r="C90" s="37"/>
      <c r="D90" s="37"/>
      <c r="E90" s="93"/>
      <c r="F90" s="93"/>
      <c r="G90" s="93"/>
      <c r="H90" s="93"/>
      <c r="I90" s="93"/>
      <c r="J90" s="93"/>
      <c r="K90" s="93"/>
      <c r="L90" s="93"/>
      <c r="M90" s="93"/>
      <c r="N90" s="94"/>
      <c r="O90" s="94"/>
      <c r="P90" s="94"/>
    </row>
    <row r="91" spans="1:16" s="38" customFormat="1" ht="11.45" customHeight="1" x14ac:dyDescent="0.2">
      <c r="A91" s="39"/>
      <c r="B91" s="171" t="s">
        <v>39</v>
      </c>
      <c r="C91" s="172"/>
      <c r="D91" s="173"/>
      <c r="E91" s="174"/>
      <c r="F91" s="175"/>
      <c r="G91" s="175"/>
      <c r="H91" s="175"/>
      <c r="I91" s="175"/>
      <c r="J91" s="175"/>
      <c r="K91" s="175"/>
      <c r="L91" s="175"/>
      <c r="M91" s="175"/>
      <c r="N91" s="175"/>
      <c r="O91" s="175"/>
      <c r="P91" s="176"/>
    </row>
    <row r="92" spans="1:16" s="38" customFormat="1" ht="11.45" customHeight="1" x14ac:dyDescent="0.2">
      <c r="A92" s="39"/>
      <c r="B92" s="171" t="s">
        <v>40</v>
      </c>
      <c r="C92" s="172"/>
      <c r="D92" s="173"/>
      <c r="E92" s="184"/>
      <c r="F92" s="185"/>
      <c r="G92" s="185"/>
      <c r="H92" s="185"/>
      <c r="I92" s="185"/>
      <c r="J92" s="185"/>
      <c r="K92" s="185"/>
      <c r="L92" s="185"/>
      <c r="M92" s="185"/>
      <c r="N92" s="185"/>
      <c r="O92" s="185"/>
      <c r="P92" s="186"/>
    </row>
    <row r="93" spans="1:16" s="38" customFormat="1" ht="11.45" customHeight="1" x14ac:dyDescent="0.2">
      <c r="A93" s="39"/>
      <c r="B93" s="187" t="s">
        <v>41</v>
      </c>
      <c r="C93" s="188"/>
      <c r="D93" s="189"/>
      <c r="E93" s="174"/>
      <c r="F93" s="175"/>
      <c r="G93" s="175"/>
      <c r="H93" s="175"/>
      <c r="I93" s="175"/>
      <c r="J93" s="175"/>
      <c r="K93" s="175"/>
      <c r="L93" s="175"/>
      <c r="M93" s="175"/>
      <c r="N93" s="175"/>
      <c r="O93" s="175"/>
      <c r="P93" s="176"/>
    </row>
    <row r="94" spans="1:16" s="38" customFormat="1" ht="11.45" customHeight="1" x14ac:dyDescent="0.2">
      <c r="A94" s="39"/>
      <c r="B94" s="187" t="s">
        <v>170</v>
      </c>
      <c r="C94" s="188"/>
      <c r="D94" s="189"/>
      <c r="E94" s="174"/>
      <c r="F94" s="175"/>
      <c r="G94" s="175"/>
      <c r="H94" s="175"/>
      <c r="I94" s="175"/>
      <c r="J94" s="175"/>
      <c r="K94" s="175"/>
      <c r="L94" s="175"/>
      <c r="M94" s="175"/>
      <c r="N94" s="175"/>
      <c r="O94" s="175"/>
      <c r="P94" s="176"/>
    </row>
    <row r="95" spans="1:16" s="38" customFormat="1" ht="11.45" customHeight="1" x14ac:dyDescent="0.2">
      <c r="A95" s="39"/>
      <c r="B95" s="171" t="s">
        <v>43</v>
      </c>
      <c r="C95" s="172"/>
      <c r="D95" s="173"/>
      <c r="E95" s="184" t="s">
        <v>100</v>
      </c>
      <c r="F95" s="185"/>
      <c r="G95" s="185"/>
      <c r="H95" s="185"/>
      <c r="I95" s="185"/>
      <c r="J95" s="185"/>
      <c r="K95" s="185"/>
      <c r="L95" s="185"/>
      <c r="M95" s="185"/>
      <c r="N95" s="185"/>
      <c r="O95" s="185"/>
      <c r="P95" s="186"/>
    </row>
    <row r="96" spans="1:16" s="38" customFormat="1" ht="11.45" customHeight="1" x14ac:dyDescent="0.2">
      <c r="A96" s="39"/>
      <c r="B96" s="171" t="s">
        <v>44</v>
      </c>
      <c r="C96" s="172"/>
      <c r="D96" s="173"/>
      <c r="E96" s="174" t="s">
        <v>101</v>
      </c>
      <c r="F96" s="175"/>
      <c r="G96" s="175"/>
      <c r="H96" s="175"/>
      <c r="I96" s="175"/>
      <c r="J96" s="175"/>
      <c r="K96" s="175"/>
      <c r="L96" s="175"/>
      <c r="M96" s="175"/>
      <c r="N96" s="175"/>
      <c r="O96" s="175"/>
      <c r="P96" s="176"/>
    </row>
    <row r="97" spans="1:16" s="38" customFormat="1" ht="11.45" customHeight="1" x14ac:dyDescent="0.2">
      <c r="A97" s="39"/>
      <c r="B97" s="171" t="s">
        <v>102</v>
      </c>
      <c r="C97" s="172"/>
      <c r="D97" s="173"/>
      <c r="E97" s="174" t="s">
        <v>101</v>
      </c>
      <c r="F97" s="175"/>
      <c r="G97" s="175"/>
      <c r="H97" s="175"/>
      <c r="I97" s="175"/>
      <c r="J97" s="175"/>
      <c r="K97" s="175"/>
      <c r="L97" s="175"/>
      <c r="M97" s="175"/>
      <c r="N97" s="175"/>
      <c r="O97" s="175"/>
      <c r="P97" s="176"/>
    </row>
    <row r="98" spans="1:16" s="38" customFormat="1" ht="11.45" customHeight="1" x14ac:dyDescent="0.2">
      <c r="A98" s="39"/>
      <c r="B98" s="171" t="s">
        <v>103</v>
      </c>
      <c r="C98" s="172"/>
      <c r="D98" s="173"/>
      <c r="E98" s="174" t="s">
        <v>101</v>
      </c>
      <c r="F98" s="175"/>
      <c r="G98" s="175"/>
      <c r="H98" s="175"/>
      <c r="I98" s="175"/>
      <c r="J98" s="175"/>
      <c r="K98" s="175"/>
      <c r="L98" s="175"/>
      <c r="M98" s="175"/>
      <c r="N98" s="175"/>
      <c r="O98" s="175"/>
      <c r="P98" s="176"/>
    </row>
    <row r="99" spans="1:16" s="38" customFormat="1" ht="11.45" customHeight="1" x14ac:dyDescent="0.2">
      <c r="A99" s="39"/>
      <c r="B99" s="171" t="s">
        <v>45</v>
      </c>
      <c r="C99" s="172"/>
      <c r="D99" s="173"/>
      <c r="E99" s="174" t="s">
        <v>104</v>
      </c>
      <c r="F99" s="175"/>
      <c r="G99" s="175"/>
      <c r="H99" s="175"/>
      <c r="I99" s="175"/>
      <c r="J99" s="175"/>
      <c r="K99" s="175"/>
      <c r="L99" s="175"/>
      <c r="M99" s="175"/>
      <c r="N99" s="175"/>
      <c r="O99" s="175"/>
      <c r="P99" s="176"/>
    </row>
    <row r="100" spans="1:16" s="38" customFormat="1" ht="11.45" customHeight="1" x14ac:dyDescent="0.2">
      <c r="A100" s="39"/>
      <c r="B100" s="171" t="s">
        <v>46</v>
      </c>
      <c r="C100" s="172"/>
      <c r="D100" s="173"/>
      <c r="E100" s="174" t="s">
        <v>105</v>
      </c>
      <c r="F100" s="175"/>
      <c r="G100" s="175"/>
      <c r="H100" s="175"/>
      <c r="I100" s="175"/>
      <c r="J100" s="175"/>
      <c r="K100" s="175"/>
      <c r="L100" s="175"/>
      <c r="M100" s="175"/>
      <c r="N100" s="175"/>
      <c r="O100" s="175"/>
      <c r="P100" s="176"/>
    </row>
    <row r="101" spans="1:16" s="38" customFormat="1" ht="11.45" customHeight="1" x14ac:dyDescent="0.2">
      <c r="A101" s="39"/>
      <c r="B101" s="40"/>
      <c r="C101" s="40"/>
      <c r="D101" s="40"/>
      <c r="E101" s="95"/>
      <c r="F101" s="95"/>
      <c r="G101" s="95"/>
      <c r="H101" s="95"/>
      <c r="I101" s="92"/>
      <c r="J101" s="92"/>
      <c r="K101" s="92"/>
      <c r="L101" s="92"/>
      <c r="M101" s="92"/>
      <c r="N101" s="92"/>
      <c r="O101" s="92"/>
      <c r="P101" s="92"/>
    </row>
    <row r="102" spans="1:16" s="38" customFormat="1" ht="11.45" customHeight="1" x14ac:dyDescent="0.2">
      <c r="A102" s="39"/>
      <c r="B102" s="177" t="s">
        <v>25</v>
      </c>
      <c r="C102" s="177"/>
      <c r="D102" s="177"/>
      <c r="E102" s="177"/>
      <c r="F102" s="177"/>
      <c r="G102" s="177"/>
      <c r="H102" s="177"/>
      <c r="I102" s="177"/>
      <c r="J102" s="177"/>
      <c r="K102" s="177"/>
      <c r="L102" s="177"/>
      <c r="M102" s="177"/>
      <c r="N102" s="177"/>
      <c r="O102" s="177"/>
      <c r="P102" s="177"/>
    </row>
    <row r="103" spans="1:16" s="38" customFormat="1" ht="11.45" customHeight="1" x14ac:dyDescent="0.2">
      <c r="A103" s="39"/>
      <c r="B103" s="177"/>
      <c r="C103" s="177"/>
      <c r="D103" s="177"/>
      <c r="E103" s="177"/>
      <c r="F103" s="177"/>
      <c r="G103" s="177"/>
      <c r="H103" s="177"/>
      <c r="I103" s="177"/>
      <c r="J103" s="177"/>
      <c r="K103" s="177"/>
      <c r="L103" s="177"/>
      <c r="M103" s="177"/>
      <c r="N103" s="177"/>
      <c r="O103" s="177"/>
      <c r="P103" s="177"/>
    </row>
    <row r="104" spans="1:16" s="38" customFormat="1" ht="11.45" customHeight="1" x14ac:dyDescent="0.2">
      <c r="A104" s="39"/>
      <c r="B104" s="177"/>
      <c r="C104" s="177"/>
      <c r="D104" s="177"/>
      <c r="E104" s="177"/>
      <c r="F104" s="177"/>
      <c r="G104" s="177"/>
      <c r="H104" s="177"/>
      <c r="I104" s="177"/>
      <c r="J104" s="177"/>
      <c r="K104" s="177"/>
      <c r="L104" s="177"/>
      <c r="M104" s="177"/>
      <c r="N104" s="177"/>
      <c r="O104" s="177"/>
      <c r="P104" s="177"/>
    </row>
    <row r="105" spans="1:16" s="38" customFormat="1" ht="47.25" customHeight="1" x14ac:dyDescent="0.2">
      <c r="A105" s="39"/>
      <c r="B105" s="177"/>
      <c r="C105" s="177"/>
      <c r="D105" s="177"/>
      <c r="E105" s="177"/>
      <c r="F105" s="177"/>
      <c r="G105" s="177"/>
      <c r="H105" s="177"/>
      <c r="I105" s="177"/>
      <c r="J105" s="177"/>
      <c r="K105" s="177"/>
      <c r="L105" s="177"/>
      <c r="M105" s="177"/>
      <c r="N105" s="177"/>
      <c r="O105" s="177"/>
      <c r="P105" s="177"/>
    </row>
    <row r="106" spans="1:16" s="38" customFormat="1" ht="11.45" customHeight="1" x14ac:dyDescent="0.2">
      <c r="A106" s="39"/>
      <c r="B106" s="40"/>
      <c r="C106" s="40"/>
      <c r="D106" s="40"/>
      <c r="E106" s="95"/>
      <c r="F106" s="95"/>
      <c r="G106" s="95"/>
      <c r="H106" s="95"/>
      <c r="I106" s="92"/>
      <c r="J106" s="92"/>
      <c r="K106" s="92"/>
      <c r="L106" s="92"/>
      <c r="M106" s="92"/>
      <c r="N106" s="92"/>
      <c r="O106" s="92"/>
      <c r="P106" s="92"/>
    </row>
    <row r="107" spans="1:16" s="38" customFormat="1" ht="11.45" customHeight="1" x14ac:dyDescent="0.2">
      <c r="A107" s="39"/>
      <c r="B107" s="40"/>
      <c r="C107" s="40"/>
      <c r="D107" s="40"/>
      <c r="E107" s="95"/>
      <c r="F107" s="95"/>
      <c r="G107" s="95"/>
      <c r="H107" s="95"/>
      <c r="I107" s="92"/>
      <c r="J107" s="92"/>
      <c r="K107" s="92"/>
      <c r="L107" s="92"/>
      <c r="M107" s="92"/>
      <c r="N107" s="92"/>
      <c r="O107" s="92"/>
      <c r="P107" s="92"/>
    </row>
    <row r="108" spans="1:16" s="38" customFormat="1" ht="11.45" customHeight="1" x14ac:dyDescent="0.2">
      <c r="A108" s="39"/>
      <c r="B108" s="40"/>
      <c r="C108" s="40"/>
      <c r="D108" s="40"/>
      <c r="E108" s="95"/>
      <c r="F108" s="95"/>
      <c r="G108" s="95"/>
      <c r="H108" s="95"/>
      <c r="I108" s="92"/>
      <c r="J108" s="92"/>
      <c r="K108" s="92"/>
      <c r="L108" s="92"/>
      <c r="M108" s="92"/>
      <c r="N108" s="92"/>
      <c r="O108" s="92"/>
      <c r="P108" s="92"/>
    </row>
    <row r="109" spans="1:16" s="38" customFormat="1" ht="11.45" customHeight="1" x14ac:dyDescent="0.2">
      <c r="A109" s="39"/>
      <c r="B109" s="40"/>
      <c r="C109" s="40"/>
      <c r="D109" s="40"/>
      <c r="E109" s="95"/>
      <c r="F109" s="95"/>
      <c r="G109" s="95"/>
      <c r="H109" s="95"/>
      <c r="I109" s="92"/>
      <c r="J109" s="92"/>
      <c r="K109" s="92"/>
      <c r="L109" s="92"/>
      <c r="M109" s="92"/>
      <c r="N109" s="92"/>
      <c r="O109" s="92"/>
      <c r="P109" s="92"/>
    </row>
    <row r="110" spans="1:16" ht="12" customHeight="1" x14ac:dyDescent="0.25">
      <c r="A110" s="17"/>
      <c r="B110" s="18"/>
      <c r="C110" s="6"/>
      <c r="D110" s="32"/>
      <c r="E110" s="95"/>
      <c r="F110" s="95"/>
      <c r="G110" s="95"/>
      <c r="H110" s="95"/>
      <c r="I110" s="92"/>
      <c r="J110" s="92"/>
      <c r="K110" s="92"/>
      <c r="L110" s="92"/>
      <c r="M110" s="92"/>
      <c r="N110" s="92"/>
      <c r="O110" s="92"/>
      <c r="P110" s="92"/>
    </row>
    <row r="111" spans="1:16" s="19" customFormat="1" ht="15" hidden="1" customHeight="1" x14ac:dyDescent="0.2">
      <c r="A111" s="33" t="s">
        <v>38</v>
      </c>
      <c r="B111" s="33"/>
      <c r="C111" s="33"/>
      <c r="D111" s="33"/>
      <c r="E111" s="96"/>
      <c r="F111" s="96"/>
      <c r="G111" s="96"/>
      <c r="H111" s="96"/>
      <c r="I111" s="96"/>
      <c r="J111" s="96"/>
      <c r="K111" s="96"/>
      <c r="L111" s="96"/>
      <c r="M111" s="96"/>
      <c r="N111" s="96"/>
      <c r="O111" s="96"/>
      <c r="P111" s="96"/>
    </row>
    <row r="112" spans="1:16" s="19" customFormat="1" ht="12.75" hidden="1" customHeight="1" x14ac:dyDescent="0.2">
      <c r="A112" s="20"/>
      <c r="B112" s="162" t="s">
        <v>39</v>
      </c>
      <c r="C112" s="163"/>
      <c r="D112" s="159"/>
      <c r="E112" s="160"/>
      <c r="F112" s="160"/>
      <c r="G112" s="160"/>
      <c r="H112" s="160"/>
      <c r="I112" s="160"/>
      <c r="J112" s="160"/>
      <c r="K112" s="160"/>
      <c r="L112" s="160"/>
      <c r="M112" s="160"/>
      <c r="N112" s="160"/>
      <c r="O112" s="160"/>
      <c r="P112" s="161"/>
    </row>
    <row r="113" spans="1:16" s="19" customFormat="1" ht="12.75" hidden="1" customHeight="1" x14ac:dyDescent="0.2">
      <c r="A113" s="20"/>
      <c r="B113" s="162" t="s">
        <v>40</v>
      </c>
      <c r="C113" s="163"/>
      <c r="D113" s="166"/>
      <c r="E113" s="167"/>
      <c r="F113" s="167"/>
      <c r="G113" s="167"/>
      <c r="H113" s="167"/>
      <c r="I113" s="167"/>
      <c r="J113" s="167"/>
      <c r="K113" s="167"/>
      <c r="L113" s="167"/>
      <c r="M113" s="167"/>
      <c r="N113" s="167"/>
      <c r="O113" s="167"/>
      <c r="P113" s="168"/>
    </row>
    <row r="114" spans="1:16" s="19" customFormat="1" ht="12.75" hidden="1" customHeight="1" x14ac:dyDescent="0.2">
      <c r="A114" s="20"/>
      <c r="B114" s="169" t="s">
        <v>41</v>
      </c>
      <c r="C114" s="170"/>
      <c r="D114" s="159"/>
      <c r="E114" s="160"/>
      <c r="F114" s="160"/>
      <c r="G114" s="160"/>
      <c r="H114" s="160"/>
      <c r="I114" s="160"/>
      <c r="J114" s="160"/>
      <c r="K114" s="160"/>
      <c r="L114" s="160"/>
      <c r="M114" s="160"/>
      <c r="N114" s="160"/>
      <c r="O114" s="160"/>
      <c r="P114" s="161"/>
    </row>
    <row r="115" spans="1:16" s="19" customFormat="1" ht="12.75" hidden="1" customHeight="1" x14ac:dyDescent="0.2">
      <c r="A115" s="20"/>
      <c r="B115" s="169" t="s">
        <v>42</v>
      </c>
      <c r="C115" s="170"/>
      <c r="D115" s="159"/>
      <c r="E115" s="160"/>
      <c r="F115" s="160"/>
      <c r="G115" s="160"/>
      <c r="H115" s="160"/>
      <c r="I115" s="160"/>
      <c r="J115" s="160"/>
      <c r="K115" s="160"/>
      <c r="L115" s="160"/>
      <c r="M115" s="160"/>
      <c r="N115" s="160"/>
      <c r="O115" s="160"/>
      <c r="P115" s="161"/>
    </row>
    <row r="116" spans="1:16" s="19" customFormat="1" ht="12.75" hidden="1" customHeight="1" x14ac:dyDescent="0.2">
      <c r="A116" s="20"/>
      <c r="B116" s="164" t="s">
        <v>43</v>
      </c>
      <c r="C116" s="165"/>
      <c r="D116" s="166"/>
      <c r="E116" s="167"/>
      <c r="F116" s="167"/>
      <c r="G116" s="167"/>
      <c r="H116" s="167"/>
      <c r="I116" s="167"/>
      <c r="J116" s="167"/>
      <c r="K116" s="167"/>
      <c r="L116" s="167"/>
      <c r="M116" s="167"/>
      <c r="N116" s="167"/>
      <c r="O116" s="167"/>
      <c r="P116" s="168"/>
    </row>
    <row r="117" spans="1:16" s="19" customFormat="1" ht="12.75" hidden="1" customHeight="1" x14ac:dyDescent="0.2">
      <c r="A117" s="20"/>
      <c r="B117" s="162" t="s">
        <v>44</v>
      </c>
      <c r="C117" s="163"/>
      <c r="D117" s="159"/>
      <c r="E117" s="160"/>
      <c r="F117" s="160"/>
      <c r="G117" s="160"/>
      <c r="H117" s="160"/>
      <c r="I117" s="160"/>
      <c r="J117" s="160"/>
      <c r="K117" s="160"/>
      <c r="L117" s="160"/>
      <c r="M117" s="160"/>
      <c r="N117" s="160"/>
      <c r="O117" s="160"/>
      <c r="P117" s="161"/>
    </row>
    <row r="118" spans="1:16" s="19" customFormat="1" ht="12.75" hidden="1" customHeight="1" x14ac:dyDescent="0.2">
      <c r="A118" s="20"/>
      <c r="B118" s="162" t="s">
        <v>45</v>
      </c>
      <c r="C118" s="163"/>
      <c r="D118" s="159"/>
      <c r="E118" s="160"/>
      <c r="F118" s="160"/>
      <c r="G118" s="160"/>
      <c r="H118" s="160"/>
      <c r="I118" s="160"/>
      <c r="J118" s="160"/>
      <c r="K118" s="160"/>
      <c r="L118" s="160"/>
      <c r="M118" s="160"/>
      <c r="N118" s="160"/>
      <c r="O118" s="160"/>
      <c r="P118" s="161"/>
    </row>
    <row r="119" spans="1:16" s="19" customFormat="1" ht="12.75" hidden="1" customHeight="1" x14ac:dyDescent="0.2">
      <c r="A119" s="20"/>
      <c r="B119" s="162" t="s">
        <v>46</v>
      </c>
      <c r="C119" s="163"/>
      <c r="D119" s="159"/>
      <c r="E119" s="160"/>
      <c r="F119" s="160"/>
      <c r="G119" s="160"/>
      <c r="H119" s="160"/>
      <c r="I119" s="160"/>
      <c r="J119" s="160"/>
      <c r="K119" s="160"/>
      <c r="L119" s="160"/>
      <c r="M119" s="160"/>
      <c r="N119" s="160"/>
      <c r="O119" s="160"/>
      <c r="P119" s="161"/>
    </row>
    <row r="120" spans="1:16" s="19" customFormat="1" ht="22.5" hidden="1" customHeight="1" x14ac:dyDescent="0.2">
      <c r="A120" s="20"/>
      <c r="B120" s="164" t="s">
        <v>50</v>
      </c>
      <c r="C120" s="165"/>
      <c r="D120" s="159"/>
      <c r="E120" s="160"/>
      <c r="F120" s="160"/>
      <c r="G120" s="160"/>
      <c r="H120" s="160"/>
      <c r="I120" s="160"/>
      <c r="J120" s="160"/>
      <c r="K120" s="160"/>
      <c r="L120" s="160"/>
      <c r="M120" s="160"/>
      <c r="N120" s="160"/>
      <c r="O120" s="160"/>
      <c r="P120" s="161"/>
    </row>
    <row r="121" spans="1:16" s="19" customFormat="1" ht="21" hidden="1" customHeight="1" x14ac:dyDescent="0.2">
      <c r="A121" s="20"/>
      <c r="B121" s="164" t="s">
        <v>53</v>
      </c>
      <c r="C121" s="165"/>
      <c r="D121" s="159"/>
      <c r="E121" s="160"/>
      <c r="F121" s="160"/>
      <c r="G121" s="160"/>
      <c r="H121" s="160"/>
      <c r="I121" s="160"/>
      <c r="J121" s="160"/>
      <c r="K121" s="160"/>
      <c r="L121" s="160"/>
      <c r="M121" s="160"/>
      <c r="N121" s="160"/>
      <c r="O121" s="160"/>
      <c r="P121" s="161"/>
    </row>
    <row r="122" spans="1:16" ht="15.75" hidden="1" customHeight="1" x14ac:dyDescent="0.25">
      <c r="A122" s="179" t="s">
        <v>25</v>
      </c>
      <c r="B122" s="179"/>
      <c r="C122" s="179"/>
      <c r="D122" s="179"/>
      <c r="E122" s="179"/>
      <c r="F122" s="179"/>
      <c r="G122" s="179"/>
      <c r="H122" s="179"/>
      <c r="I122" s="179"/>
      <c r="J122" s="179"/>
      <c r="K122" s="179"/>
      <c r="L122" s="179"/>
      <c r="M122" s="179"/>
      <c r="N122" s="179"/>
      <c r="O122" s="179"/>
      <c r="P122" s="179"/>
    </row>
    <row r="123" spans="1:16" hidden="1" x14ac:dyDescent="0.25">
      <c r="A123" s="179"/>
      <c r="B123" s="179"/>
      <c r="C123" s="179"/>
      <c r="D123" s="179"/>
      <c r="E123" s="179"/>
      <c r="F123" s="179"/>
      <c r="G123" s="179"/>
      <c r="H123" s="179"/>
      <c r="I123" s="179"/>
      <c r="J123" s="179"/>
      <c r="K123" s="179"/>
      <c r="L123" s="179"/>
      <c r="M123" s="179"/>
      <c r="N123" s="179"/>
      <c r="O123" s="179"/>
      <c r="P123" s="179"/>
    </row>
    <row r="124" spans="1:16" hidden="1" x14ac:dyDescent="0.25">
      <c r="A124" s="179"/>
      <c r="B124" s="179"/>
      <c r="C124" s="179"/>
      <c r="D124" s="179"/>
      <c r="E124" s="179"/>
      <c r="F124" s="179"/>
      <c r="G124" s="179"/>
      <c r="H124" s="179"/>
      <c r="I124" s="179"/>
      <c r="J124" s="179"/>
      <c r="K124" s="179"/>
      <c r="L124" s="179"/>
      <c r="M124" s="179"/>
      <c r="N124" s="179"/>
      <c r="O124" s="179"/>
      <c r="P124" s="179"/>
    </row>
    <row r="125" spans="1:16" hidden="1" x14ac:dyDescent="0.25">
      <c r="A125" s="179"/>
      <c r="B125" s="179"/>
      <c r="C125" s="179"/>
      <c r="D125" s="179"/>
      <c r="E125" s="179"/>
      <c r="F125" s="179"/>
      <c r="G125" s="179"/>
      <c r="H125" s="179"/>
      <c r="I125" s="179"/>
      <c r="J125" s="179"/>
      <c r="K125" s="179"/>
      <c r="L125" s="179"/>
      <c r="M125" s="179"/>
      <c r="N125" s="179"/>
      <c r="O125" s="179"/>
      <c r="P125" s="179"/>
    </row>
    <row r="126" spans="1:16" x14ac:dyDescent="0.25">
      <c r="A126" s="4"/>
      <c r="B126" s="4"/>
      <c r="C126" s="22"/>
      <c r="D126" s="5"/>
      <c r="E126" s="97"/>
      <c r="F126" s="97"/>
      <c r="G126" s="97"/>
      <c r="H126" s="97"/>
      <c r="I126" s="98"/>
      <c r="J126" s="98"/>
      <c r="K126" s="98"/>
      <c r="L126" s="98"/>
      <c r="M126" s="98"/>
      <c r="N126" s="98"/>
      <c r="O126" s="98"/>
      <c r="P126" s="98"/>
    </row>
    <row r="127" spans="1:16" x14ac:dyDescent="0.25">
      <c r="B127" s="180" t="s">
        <v>56</v>
      </c>
      <c r="C127" s="180"/>
      <c r="D127" s="181" t="s">
        <v>10</v>
      </c>
      <c r="E127" s="181"/>
      <c r="F127" s="181"/>
      <c r="G127" s="181"/>
      <c r="H127" s="181"/>
      <c r="I127" s="181"/>
      <c r="J127" s="181"/>
      <c r="K127" s="181"/>
      <c r="L127" s="181"/>
      <c r="M127" s="181"/>
      <c r="N127" s="181"/>
      <c r="O127" s="181"/>
      <c r="P127" s="181"/>
    </row>
    <row r="128" spans="1:16" x14ac:dyDescent="0.25">
      <c r="B128" s="178" t="s">
        <v>57</v>
      </c>
      <c r="C128" s="178"/>
      <c r="D128" s="178" t="s">
        <v>9</v>
      </c>
      <c r="E128" s="178"/>
      <c r="F128" s="178"/>
      <c r="G128" s="178"/>
      <c r="H128" s="178"/>
      <c r="I128" s="178"/>
      <c r="J128" s="178"/>
      <c r="K128" s="178"/>
      <c r="L128" s="99"/>
      <c r="M128" s="100"/>
      <c r="N128" s="100"/>
      <c r="O128" s="100"/>
      <c r="P128" s="100"/>
    </row>
  </sheetData>
  <mergeCells count="89">
    <mergeCell ref="J11:P11"/>
    <mergeCell ref="J12:P12"/>
    <mergeCell ref="J13:P13"/>
    <mergeCell ref="J14:P14"/>
    <mergeCell ref="J15:P15"/>
    <mergeCell ref="D14:I14"/>
    <mergeCell ref="D15:I15"/>
    <mergeCell ref="D11:I11"/>
    <mergeCell ref="D12:I12"/>
    <mergeCell ref="D13:I13"/>
    <mergeCell ref="I17:L17"/>
    <mergeCell ref="M17:P17"/>
    <mergeCell ref="O16:P16"/>
    <mergeCell ref="F17:F18"/>
    <mergeCell ref="G17:G18"/>
    <mergeCell ref="H17:H18"/>
    <mergeCell ref="A9:B9"/>
    <mergeCell ref="D9:I9"/>
    <mergeCell ref="D10:I10"/>
    <mergeCell ref="J9:P9"/>
    <mergeCell ref="J10:P10"/>
    <mergeCell ref="A3:K3"/>
    <mergeCell ref="A4:K4"/>
    <mergeCell ref="C6:D6"/>
    <mergeCell ref="D8:I8"/>
    <mergeCell ref="J8:P8"/>
    <mergeCell ref="A17:A18"/>
    <mergeCell ref="B17:B18"/>
    <mergeCell ref="C17:C18"/>
    <mergeCell ref="D17:D18"/>
    <mergeCell ref="E17:E18"/>
    <mergeCell ref="B87:P87"/>
    <mergeCell ref="B77:P77"/>
    <mergeCell ref="B78:P78"/>
    <mergeCell ref="B79:P79"/>
    <mergeCell ref="B80:P80"/>
    <mergeCell ref="B81:P81"/>
    <mergeCell ref="B82:P82"/>
    <mergeCell ref="B83:P83"/>
    <mergeCell ref="B84:P84"/>
    <mergeCell ref="B85:P85"/>
    <mergeCell ref="B86:P86"/>
    <mergeCell ref="B117:C117"/>
    <mergeCell ref="D117:P117"/>
    <mergeCell ref="B118:C118"/>
    <mergeCell ref="D118:P118"/>
    <mergeCell ref="B88:P88"/>
    <mergeCell ref="B91:D91"/>
    <mergeCell ref="E91:P91"/>
    <mergeCell ref="B92:D92"/>
    <mergeCell ref="E92:P92"/>
    <mergeCell ref="B93:D93"/>
    <mergeCell ref="E93:P93"/>
    <mergeCell ref="B94:D94"/>
    <mergeCell ref="E94:P94"/>
    <mergeCell ref="B95:D95"/>
    <mergeCell ref="E95:P95"/>
    <mergeCell ref="B96:D96"/>
    <mergeCell ref="B128:C128"/>
    <mergeCell ref="D128:K128"/>
    <mergeCell ref="A122:P125"/>
    <mergeCell ref="B127:C127"/>
    <mergeCell ref="D127:P127"/>
    <mergeCell ref="E96:P96"/>
    <mergeCell ref="B97:D97"/>
    <mergeCell ref="E97:P97"/>
    <mergeCell ref="B98:D98"/>
    <mergeCell ref="E98:P98"/>
    <mergeCell ref="B99:D99"/>
    <mergeCell ref="E99:P99"/>
    <mergeCell ref="B100:D100"/>
    <mergeCell ref="E100:P100"/>
    <mergeCell ref="B102:P105"/>
    <mergeCell ref="D112:P112"/>
    <mergeCell ref="B112:C112"/>
    <mergeCell ref="D121:P121"/>
    <mergeCell ref="B121:C121"/>
    <mergeCell ref="D120:P120"/>
    <mergeCell ref="B120:C120"/>
    <mergeCell ref="D113:P113"/>
    <mergeCell ref="B113:C113"/>
    <mergeCell ref="B119:C119"/>
    <mergeCell ref="D119:P119"/>
    <mergeCell ref="B114:C114"/>
    <mergeCell ref="D114:P114"/>
    <mergeCell ref="B115:C115"/>
    <mergeCell ref="D115:P115"/>
    <mergeCell ref="B116:C116"/>
    <mergeCell ref="D116:P116"/>
  </mergeCells>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5"/>
  <sheetViews>
    <sheetView tabSelected="1" view="pageBreakPreview" zoomScale="70" zoomScaleNormal="64" zoomScaleSheetLayoutView="70" workbookViewId="0">
      <selection activeCell="I64" sqref="I64"/>
    </sheetView>
  </sheetViews>
  <sheetFormatPr defaultColWidth="10.875" defaultRowHeight="15.75" outlineLevelRow="1" outlineLevelCol="1" x14ac:dyDescent="0.25"/>
  <cols>
    <col min="1" max="1" width="10.125" style="8" customWidth="1"/>
    <col min="2" max="2" width="7.875" style="2" customWidth="1"/>
    <col min="3" max="3" width="64.875" style="23" customWidth="1"/>
    <col min="4" max="4" width="7" style="1" bestFit="1" customWidth="1"/>
    <col min="5" max="5" width="13.125" style="62" customWidth="1"/>
    <col min="6" max="8" width="11.875" style="62" customWidth="1" outlineLevel="1"/>
    <col min="9" max="12" width="10.5" style="61" customWidth="1"/>
    <col min="13" max="15" width="14" style="61" customWidth="1"/>
    <col min="16" max="16" width="20.25" style="61" customWidth="1"/>
    <col min="17" max="16384" width="10.875" style="8"/>
  </cols>
  <sheetData>
    <row r="1" spans="1:16" x14ac:dyDescent="0.25">
      <c r="A1" s="14"/>
      <c r="B1" s="15"/>
      <c r="C1" s="21"/>
      <c r="D1" s="16"/>
      <c r="E1" s="59"/>
      <c r="F1" s="59"/>
      <c r="G1" s="59"/>
      <c r="H1" s="59"/>
      <c r="I1" s="60"/>
      <c r="J1" s="60"/>
      <c r="K1" s="60"/>
      <c r="L1" s="60"/>
      <c r="M1" s="60"/>
      <c r="N1" s="60"/>
      <c r="O1" s="60"/>
    </row>
    <row r="2" spans="1:16" x14ac:dyDescent="0.25">
      <c r="A2" s="14"/>
      <c r="B2" s="15"/>
      <c r="C2" s="21"/>
      <c r="D2" s="16"/>
      <c r="E2" s="59"/>
      <c r="F2" s="59"/>
      <c r="G2" s="59"/>
      <c r="H2" s="59"/>
      <c r="I2" s="60"/>
      <c r="J2" s="60"/>
      <c r="K2" s="60"/>
      <c r="L2" s="60"/>
      <c r="M2" s="60"/>
      <c r="N2" s="60"/>
      <c r="O2" s="60"/>
    </row>
    <row r="3" spans="1:16" x14ac:dyDescent="0.25">
      <c r="A3" s="204" t="s">
        <v>36</v>
      </c>
      <c r="B3" s="204"/>
      <c r="C3" s="204"/>
      <c r="D3" s="204"/>
      <c r="E3" s="204"/>
      <c r="F3" s="204"/>
      <c r="G3" s="204"/>
      <c r="H3" s="204"/>
      <c r="I3" s="204"/>
      <c r="J3" s="204"/>
      <c r="K3" s="204"/>
      <c r="L3" s="60"/>
      <c r="M3" s="60"/>
      <c r="N3" s="60"/>
      <c r="O3" s="60"/>
    </row>
    <row r="4" spans="1:16" x14ac:dyDescent="0.25">
      <c r="A4" s="204" t="s">
        <v>108</v>
      </c>
      <c r="B4" s="204"/>
      <c r="C4" s="204"/>
      <c r="D4" s="204"/>
      <c r="E4" s="204"/>
      <c r="F4" s="204"/>
      <c r="G4" s="204"/>
      <c r="H4" s="204"/>
      <c r="I4" s="204"/>
      <c r="J4" s="204"/>
      <c r="K4" s="204"/>
      <c r="L4" s="60"/>
      <c r="M4" s="60"/>
      <c r="N4" s="60"/>
      <c r="O4" s="60"/>
    </row>
    <row r="5" spans="1:16" x14ac:dyDescent="0.25">
      <c r="A5" s="14"/>
      <c r="B5" s="15"/>
      <c r="C5" s="21"/>
      <c r="D5" s="16"/>
      <c r="E5" s="59"/>
      <c r="F5" s="59"/>
      <c r="G5" s="59"/>
      <c r="H5" s="59"/>
      <c r="I5" s="60"/>
      <c r="J5" s="60"/>
      <c r="K5" s="60"/>
      <c r="L5" s="60"/>
      <c r="M5" s="60"/>
      <c r="N5" s="60"/>
      <c r="O5" s="60"/>
    </row>
    <row r="6" spans="1:16" ht="22.5" x14ac:dyDescent="0.25">
      <c r="A6" s="12"/>
      <c r="B6" s="13"/>
      <c r="C6" s="205" t="s">
        <v>37</v>
      </c>
      <c r="D6" s="205"/>
    </row>
    <row r="7" spans="1:16" ht="16.5" thickBot="1" x14ac:dyDescent="0.3">
      <c r="A7" s="12"/>
      <c r="B7" s="13"/>
      <c r="C7" s="13"/>
      <c r="D7" s="13"/>
    </row>
    <row r="8" spans="1:16" x14ac:dyDescent="0.25">
      <c r="A8" s="12"/>
      <c r="B8" s="13"/>
      <c r="C8" s="13"/>
      <c r="D8" s="206" t="s">
        <v>27</v>
      </c>
      <c r="E8" s="207"/>
      <c r="F8" s="207"/>
      <c r="G8" s="207"/>
      <c r="H8" s="207"/>
      <c r="I8" s="207"/>
      <c r="J8" s="208"/>
      <c r="K8" s="209"/>
      <c r="L8" s="209"/>
      <c r="M8" s="209"/>
      <c r="N8" s="209"/>
      <c r="O8" s="209"/>
      <c r="P8" s="210"/>
    </row>
    <row r="9" spans="1:16" x14ac:dyDescent="0.25">
      <c r="A9" s="211"/>
      <c r="B9" s="211"/>
      <c r="C9" s="28" t="s">
        <v>28</v>
      </c>
      <c r="D9" s="212" t="s">
        <v>29</v>
      </c>
      <c r="E9" s="213"/>
      <c r="F9" s="213"/>
      <c r="G9" s="213"/>
      <c r="H9" s="213"/>
      <c r="I9" s="213"/>
      <c r="J9" s="214"/>
      <c r="K9" s="214"/>
      <c r="L9" s="214"/>
      <c r="M9" s="214"/>
      <c r="N9" s="214"/>
      <c r="O9" s="214"/>
      <c r="P9" s="215"/>
    </row>
    <row r="10" spans="1:16" s="3" customFormat="1" x14ac:dyDescent="0.25">
      <c r="A10" s="12"/>
      <c r="B10" s="13"/>
      <c r="C10" s="13"/>
      <c r="D10" s="212" t="s">
        <v>30</v>
      </c>
      <c r="E10" s="213"/>
      <c r="F10" s="213"/>
      <c r="G10" s="213"/>
      <c r="H10" s="213"/>
      <c r="I10" s="213"/>
      <c r="J10" s="214"/>
      <c r="K10" s="214"/>
      <c r="L10" s="214"/>
      <c r="M10" s="214"/>
      <c r="N10" s="214"/>
      <c r="O10" s="214"/>
      <c r="P10" s="215"/>
    </row>
    <row r="11" spans="1:16" s="3" customFormat="1" x14ac:dyDescent="0.25">
      <c r="A11" s="12"/>
      <c r="B11" s="13"/>
      <c r="C11" s="13"/>
      <c r="D11" s="212" t="s">
        <v>31</v>
      </c>
      <c r="E11" s="213"/>
      <c r="F11" s="213"/>
      <c r="G11" s="213"/>
      <c r="H11" s="213"/>
      <c r="I11" s="213"/>
      <c r="J11" s="214"/>
      <c r="K11" s="214"/>
      <c r="L11" s="214"/>
      <c r="M11" s="214"/>
      <c r="N11" s="214"/>
      <c r="O11" s="214"/>
      <c r="P11" s="215"/>
    </row>
    <row r="12" spans="1:16" s="3" customFormat="1" x14ac:dyDescent="0.25">
      <c r="A12" s="12"/>
      <c r="B12" s="13"/>
      <c r="C12" s="13"/>
      <c r="D12" s="212" t="s">
        <v>32</v>
      </c>
      <c r="E12" s="213"/>
      <c r="F12" s="213"/>
      <c r="G12" s="213"/>
      <c r="H12" s="213"/>
      <c r="I12" s="213"/>
      <c r="J12" s="214"/>
      <c r="K12" s="214"/>
      <c r="L12" s="214"/>
      <c r="M12" s="214"/>
      <c r="N12" s="214"/>
      <c r="O12" s="214"/>
      <c r="P12" s="215"/>
    </row>
    <row r="13" spans="1:16" s="3" customFormat="1" x14ac:dyDescent="0.25">
      <c r="A13" s="12"/>
      <c r="B13" s="13"/>
      <c r="C13" s="13"/>
      <c r="D13" s="212" t="s">
        <v>33</v>
      </c>
      <c r="E13" s="213"/>
      <c r="F13" s="213"/>
      <c r="G13" s="213"/>
      <c r="H13" s="213"/>
      <c r="I13" s="213"/>
      <c r="J13" s="214"/>
      <c r="K13" s="214"/>
      <c r="L13" s="214"/>
      <c r="M13" s="214"/>
      <c r="N13" s="214"/>
      <c r="O13" s="214"/>
      <c r="P13" s="215"/>
    </row>
    <row r="14" spans="1:16" s="3" customFormat="1" x14ac:dyDescent="0.25">
      <c r="A14" s="12"/>
      <c r="B14" s="13"/>
      <c r="C14" s="13"/>
      <c r="D14" s="212" t="s">
        <v>34</v>
      </c>
      <c r="E14" s="213"/>
      <c r="F14" s="213"/>
      <c r="G14" s="213"/>
      <c r="H14" s="213"/>
      <c r="I14" s="213"/>
      <c r="J14" s="214"/>
      <c r="K14" s="214"/>
      <c r="L14" s="214"/>
      <c r="M14" s="214"/>
      <c r="N14" s="214"/>
      <c r="O14" s="214"/>
      <c r="P14" s="215"/>
    </row>
    <row r="15" spans="1:16" s="3" customFormat="1" ht="16.5" thickBot="1" x14ac:dyDescent="0.3">
      <c r="A15" s="12"/>
      <c r="B15" s="13"/>
      <c r="D15" s="246" t="s">
        <v>35</v>
      </c>
      <c r="E15" s="247"/>
      <c r="F15" s="247"/>
      <c r="G15" s="247"/>
      <c r="H15" s="247"/>
      <c r="I15" s="247"/>
      <c r="J15" s="248"/>
      <c r="K15" s="248"/>
      <c r="L15" s="248"/>
      <c r="M15" s="248"/>
      <c r="N15" s="248"/>
      <c r="O15" s="248"/>
      <c r="P15" s="249"/>
    </row>
    <row r="16" spans="1:16" ht="36" customHeight="1" x14ac:dyDescent="0.25">
      <c r="A16" s="230" t="s">
        <v>47</v>
      </c>
      <c r="B16" s="230" t="s">
        <v>2</v>
      </c>
      <c r="C16" s="232" t="s">
        <v>1</v>
      </c>
      <c r="D16" s="234" t="s">
        <v>0</v>
      </c>
      <c r="E16" s="236" t="s">
        <v>62</v>
      </c>
      <c r="F16" s="236" t="s">
        <v>61</v>
      </c>
      <c r="G16" s="236" t="s">
        <v>63</v>
      </c>
      <c r="H16" s="238" t="s">
        <v>64</v>
      </c>
      <c r="I16" s="240" t="s">
        <v>3</v>
      </c>
      <c r="J16" s="241"/>
      <c r="K16" s="241"/>
      <c r="L16" s="242"/>
      <c r="M16" s="243" t="s">
        <v>4</v>
      </c>
      <c r="N16" s="244"/>
      <c r="O16" s="244"/>
      <c r="P16" s="245"/>
    </row>
    <row r="17" spans="1:16" ht="36" customHeight="1" thickBot="1" x14ac:dyDescent="0.3">
      <c r="A17" s="231"/>
      <c r="B17" s="231"/>
      <c r="C17" s="233"/>
      <c r="D17" s="235"/>
      <c r="E17" s="237"/>
      <c r="F17" s="237"/>
      <c r="G17" s="237"/>
      <c r="H17" s="239"/>
      <c r="I17" s="69" t="s">
        <v>55</v>
      </c>
      <c r="J17" s="145" t="s">
        <v>99</v>
      </c>
      <c r="K17" s="145" t="s">
        <v>54</v>
      </c>
      <c r="L17" s="67" t="s">
        <v>5</v>
      </c>
      <c r="M17" s="69" t="s">
        <v>55</v>
      </c>
      <c r="N17" s="145" t="s">
        <v>99</v>
      </c>
      <c r="O17" s="70" t="s">
        <v>54</v>
      </c>
      <c r="P17" s="146" t="s">
        <v>5</v>
      </c>
    </row>
    <row r="18" spans="1:16" s="9" customFormat="1" ht="23.25" customHeight="1" x14ac:dyDescent="0.25">
      <c r="A18" s="143" t="s">
        <v>124</v>
      </c>
      <c r="B18" s="143" t="s">
        <v>6</v>
      </c>
      <c r="C18" s="144" t="s">
        <v>123</v>
      </c>
      <c r="D18" s="144"/>
      <c r="E18" s="144"/>
      <c r="F18" s="144"/>
      <c r="G18" s="144"/>
      <c r="H18" s="144"/>
      <c r="I18" s="144"/>
      <c r="J18" s="144"/>
      <c r="K18" s="144"/>
      <c r="L18" s="147"/>
      <c r="M18" s="148">
        <f>SUM(M65,M38,M22,M19)</f>
        <v>0</v>
      </c>
      <c r="N18" s="148">
        <f>SUM(N65,N38,N22,N19)</f>
        <v>0</v>
      </c>
      <c r="O18" s="148">
        <f>SUM(O65,O38,O22,O19)</f>
        <v>0</v>
      </c>
      <c r="P18" s="148">
        <f>SUM(P65,P38,P22,P19)</f>
        <v>0</v>
      </c>
    </row>
    <row r="19" spans="1:16" s="10" customFormat="1" ht="36.75" customHeight="1" x14ac:dyDescent="0.25">
      <c r="A19" s="129" t="s">
        <v>125</v>
      </c>
      <c r="B19" s="27" t="s">
        <v>7</v>
      </c>
      <c r="C19" s="130" t="s">
        <v>130</v>
      </c>
      <c r="D19" s="131"/>
      <c r="E19" s="74"/>
      <c r="F19" s="74"/>
      <c r="G19" s="74"/>
      <c r="H19" s="74"/>
      <c r="I19" s="112"/>
      <c r="J19" s="112"/>
      <c r="K19" s="112"/>
      <c r="L19" s="150"/>
      <c r="M19" s="151">
        <f>SUM(M20:M21)</f>
        <v>0</v>
      </c>
      <c r="N19" s="151">
        <f t="shared" ref="N19:P19" si="0">SUM(N20:N21)</f>
        <v>0</v>
      </c>
      <c r="O19" s="151">
        <f t="shared" si="0"/>
        <v>0</v>
      </c>
      <c r="P19" s="151">
        <f t="shared" si="0"/>
        <v>0</v>
      </c>
    </row>
    <row r="20" spans="1:16" s="11" customFormat="1" ht="31.5" outlineLevel="1" x14ac:dyDescent="0.25">
      <c r="A20" s="132"/>
      <c r="B20" s="25" t="s">
        <v>8</v>
      </c>
      <c r="C20" s="133" t="s">
        <v>96</v>
      </c>
      <c r="D20" s="134" t="s">
        <v>18</v>
      </c>
      <c r="E20" s="86">
        <f>SUM(F20:H20)</f>
        <v>618</v>
      </c>
      <c r="F20" s="77">
        <f>616*0.5</f>
        <v>308</v>
      </c>
      <c r="G20" s="77">
        <f>0.5*322</f>
        <v>161</v>
      </c>
      <c r="H20" s="77">
        <f>0.5*297</f>
        <v>149</v>
      </c>
      <c r="I20" s="102"/>
      <c r="J20" s="102"/>
      <c r="K20" s="102"/>
      <c r="L20" s="152">
        <f>SUM(I20:K20)</f>
        <v>0</v>
      </c>
      <c r="M20" s="153">
        <f>E20*I20</f>
        <v>0</v>
      </c>
      <c r="N20" s="153">
        <f>E20*J20</f>
        <v>0</v>
      </c>
      <c r="O20" s="153">
        <f>K20*E20</f>
        <v>0</v>
      </c>
      <c r="P20" s="153">
        <f>L20*E20</f>
        <v>0</v>
      </c>
    </row>
    <row r="21" spans="1:16" s="11" customFormat="1" ht="31.5" outlineLevel="1" x14ac:dyDescent="0.25">
      <c r="A21" s="132"/>
      <c r="B21" s="25" t="s">
        <v>12</v>
      </c>
      <c r="C21" s="133" t="s">
        <v>97</v>
      </c>
      <c r="D21" s="134" t="s">
        <v>18</v>
      </c>
      <c r="E21" s="86">
        <f t="shared" ref="E21:E24" si="1">SUM(F21:H21)</f>
        <v>5295</v>
      </c>
      <c r="F21" s="77">
        <f>15*174</f>
        <v>2610</v>
      </c>
      <c r="G21" s="77">
        <f>15*95</f>
        <v>1425</v>
      </c>
      <c r="H21" s="77">
        <f>15*84</f>
        <v>1260</v>
      </c>
      <c r="I21" s="102"/>
      <c r="J21" s="102"/>
      <c r="K21" s="102"/>
      <c r="L21" s="152">
        <f t="shared" ref="L21:L24" si="2">SUM(I21:K21)</f>
        <v>0</v>
      </c>
      <c r="M21" s="153">
        <f t="shared" ref="M21:M37" si="3">E21*I21</f>
        <v>0</v>
      </c>
      <c r="N21" s="153">
        <f t="shared" ref="N21:N37" si="4">E21*J21</f>
        <v>0</v>
      </c>
      <c r="O21" s="153">
        <f t="shared" ref="O21:O37" si="5">K21*E21</f>
        <v>0</v>
      </c>
      <c r="P21" s="153">
        <f t="shared" ref="P21:P37" si="6">L21*E21</f>
        <v>0</v>
      </c>
    </row>
    <row r="22" spans="1:16" s="10" customFormat="1" ht="36.75" customHeight="1" x14ac:dyDescent="0.25">
      <c r="A22" s="129" t="s">
        <v>126</v>
      </c>
      <c r="B22" s="27" t="s">
        <v>13</v>
      </c>
      <c r="C22" s="130" t="s">
        <v>129</v>
      </c>
      <c r="D22" s="131"/>
      <c r="E22" s="74"/>
      <c r="F22" s="74"/>
      <c r="G22" s="74"/>
      <c r="H22" s="74"/>
      <c r="I22" s="112"/>
      <c r="J22" s="112"/>
      <c r="K22" s="112"/>
      <c r="L22" s="150"/>
      <c r="M22" s="151">
        <f>SUM(M23:M37)</f>
        <v>0</v>
      </c>
      <c r="N22" s="151">
        <f>SUM(N23:N37)</f>
        <v>0</v>
      </c>
      <c r="O22" s="151">
        <f>SUM(O23:O37)</f>
        <v>0</v>
      </c>
      <c r="P22" s="151">
        <f>SUM(P23:P37)</f>
        <v>0</v>
      </c>
    </row>
    <row r="23" spans="1:16" s="11" customFormat="1" ht="31.5" outlineLevel="1" x14ac:dyDescent="0.25">
      <c r="A23" s="132"/>
      <c r="B23" s="25" t="s">
        <v>14</v>
      </c>
      <c r="C23" s="135" t="s">
        <v>95</v>
      </c>
      <c r="D23" s="134" t="s">
        <v>18</v>
      </c>
      <c r="E23" s="86">
        <f t="shared" si="1"/>
        <v>5113</v>
      </c>
      <c r="F23" s="77">
        <f>(25*424+192*10)*0.2</f>
        <v>2504</v>
      </c>
      <c r="G23" s="77">
        <f>(25*240+82*10)*0.2</f>
        <v>1364</v>
      </c>
      <c r="H23" s="77">
        <f>(25*217+10*80)*0.2</f>
        <v>1245</v>
      </c>
      <c r="I23" s="102"/>
      <c r="J23" s="102"/>
      <c r="K23" s="102"/>
      <c r="L23" s="152">
        <f>SUM(I23:K23)</f>
        <v>0</v>
      </c>
      <c r="M23" s="153">
        <f t="shared" ref="M23" si="7">E23*I23</f>
        <v>0</v>
      </c>
      <c r="N23" s="153">
        <f t="shared" si="4"/>
        <v>0</v>
      </c>
      <c r="O23" s="153">
        <f t="shared" ref="O23" si="8">K23*E23</f>
        <v>0</v>
      </c>
      <c r="P23" s="153">
        <f t="shared" ref="P23" si="9">L23*E23</f>
        <v>0</v>
      </c>
    </row>
    <row r="24" spans="1:16" s="11" customFormat="1" ht="31.9" customHeight="1" outlineLevel="1" x14ac:dyDescent="0.25">
      <c r="A24" s="132"/>
      <c r="B24" s="25" t="s">
        <v>214</v>
      </c>
      <c r="C24" s="135" t="s">
        <v>213</v>
      </c>
      <c r="D24" s="134" t="s">
        <v>18</v>
      </c>
      <c r="E24" s="86">
        <f t="shared" si="1"/>
        <v>13008</v>
      </c>
      <c r="F24" s="77">
        <f>10400*0.6</f>
        <v>6240</v>
      </c>
      <c r="G24" s="77">
        <f>5620*0.6</f>
        <v>3372</v>
      </c>
      <c r="H24" s="77">
        <f>5660*0.6</f>
        <v>3396</v>
      </c>
      <c r="I24" s="102"/>
      <c r="J24" s="102"/>
      <c r="K24" s="102"/>
      <c r="L24" s="152">
        <f t="shared" si="2"/>
        <v>0</v>
      </c>
      <c r="M24" s="153">
        <f t="shared" si="3"/>
        <v>0</v>
      </c>
      <c r="N24" s="153">
        <f t="shared" si="4"/>
        <v>0</v>
      </c>
      <c r="O24" s="153">
        <f t="shared" si="5"/>
        <v>0</v>
      </c>
      <c r="P24" s="153">
        <f t="shared" si="6"/>
        <v>0</v>
      </c>
    </row>
    <row r="25" spans="1:16" s="11" customFormat="1" ht="46.9" customHeight="1" outlineLevel="1" x14ac:dyDescent="0.25">
      <c r="A25" s="132"/>
      <c r="B25" s="25" t="s">
        <v>215</v>
      </c>
      <c r="C25" s="135" t="s">
        <v>220</v>
      </c>
      <c r="D25" s="134" t="s">
        <v>18</v>
      </c>
      <c r="E25" s="86">
        <f t="shared" ref="E25:E37" si="10">SUM(F25:H25)</f>
        <v>12157</v>
      </c>
      <c r="F25" s="77">
        <f>9630*0.6</f>
        <v>5778</v>
      </c>
      <c r="G25" s="77">
        <f>5292*0.6</f>
        <v>3175</v>
      </c>
      <c r="H25" s="77">
        <f>5340*0.6</f>
        <v>3204</v>
      </c>
      <c r="I25" s="102"/>
      <c r="J25" s="102"/>
      <c r="K25" s="102"/>
      <c r="L25" s="152">
        <f t="shared" ref="L25:L37" si="11">SUM(I25:K25)</f>
        <v>0</v>
      </c>
      <c r="M25" s="153">
        <f t="shared" si="3"/>
        <v>0</v>
      </c>
      <c r="N25" s="153">
        <f t="shared" si="4"/>
        <v>0</v>
      </c>
      <c r="O25" s="153">
        <f t="shared" si="5"/>
        <v>0</v>
      </c>
      <c r="P25" s="153">
        <f t="shared" si="6"/>
        <v>0</v>
      </c>
    </row>
    <row r="26" spans="1:16" s="11" customFormat="1" ht="51" customHeight="1" outlineLevel="1" x14ac:dyDescent="0.25">
      <c r="A26" s="132"/>
      <c r="B26" s="25" t="s">
        <v>216</v>
      </c>
      <c r="C26" s="135" t="s">
        <v>218</v>
      </c>
      <c r="D26" s="134" t="s">
        <v>18</v>
      </c>
      <c r="E26" s="86">
        <f t="shared" ref="E26" si="12">SUM(F26:H26)</f>
        <v>13008</v>
      </c>
      <c r="F26" s="77">
        <f>10400*0.6</f>
        <v>6240</v>
      </c>
      <c r="G26" s="77">
        <f>5620*0.6</f>
        <v>3372</v>
      </c>
      <c r="H26" s="77">
        <f>5660*0.6</f>
        <v>3396</v>
      </c>
      <c r="I26" s="102"/>
      <c r="J26" s="102"/>
      <c r="K26" s="102"/>
      <c r="L26" s="152">
        <f t="shared" ref="L26" si="13">SUM(I26:K26)</f>
        <v>0</v>
      </c>
      <c r="M26" s="153">
        <f t="shared" ref="M26:M27" si="14">E26*I26</f>
        <v>0</v>
      </c>
      <c r="N26" s="153">
        <f t="shared" ref="N26:N27" si="15">E26*J26</f>
        <v>0</v>
      </c>
      <c r="O26" s="153">
        <f t="shared" ref="O26:O27" si="16">K26*E26</f>
        <v>0</v>
      </c>
      <c r="P26" s="153">
        <f t="shared" ref="P26:P27" si="17">L26*E26</f>
        <v>0</v>
      </c>
    </row>
    <row r="27" spans="1:16" s="11" customFormat="1" ht="46.5" customHeight="1" outlineLevel="1" x14ac:dyDescent="0.25">
      <c r="A27" s="132"/>
      <c r="B27" s="25" t="s">
        <v>217</v>
      </c>
      <c r="C27" s="135" t="s">
        <v>219</v>
      </c>
      <c r="D27" s="134" t="s">
        <v>18</v>
      </c>
      <c r="E27" s="86">
        <f t="shared" ref="E27" si="18">SUM(F27:H27)</f>
        <v>12157</v>
      </c>
      <c r="F27" s="77">
        <f>9630*0.6</f>
        <v>5778</v>
      </c>
      <c r="G27" s="77">
        <f>5292*0.6</f>
        <v>3175</v>
      </c>
      <c r="H27" s="77">
        <f>5340*0.6</f>
        <v>3204</v>
      </c>
      <c r="I27" s="102"/>
      <c r="J27" s="102"/>
      <c r="K27" s="102"/>
      <c r="L27" s="152">
        <f t="shared" ref="L27" si="19">SUM(I27:K27)</f>
        <v>0</v>
      </c>
      <c r="M27" s="153">
        <f t="shared" si="14"/>
        <v>0</v>
      </c>
      <c r="N27" s="153">
        <f t="shared" si="15"/>
        <v>0</v>
      </c>
      <c r="O27" s="153">
        <f t="shared" si="16"/>
        <v>0</v>
      </c>
      <c r="P27" s="153">
        <f t="shared" si="17"/>
        <v>0</v>
      </c>
    </row>
    <row r="28" spans="1:16" s="11" customFormat="1" ht="34.5" customHeight="1" outlineLevel="1" x14ac:dyDescent="0.25">
      <c r="A28" s="132"/>
      <c r="B28" s="25" t="s">
        <v>17</v>
      </c>
      <c r="C28" s="135" t="s">
        <v>93</v>
      </c>
      <c r="D28" s="134" t="s">
        <v>18</v>
      </c>
      <c r="E28" s="86">
        <f t="shared" si="10"/>
        <v>12584</v>
      </c>
      <c r="F28" s="77">
        <f>10016*0.6</f>
        <v>6010</v>
      </c>
      <c r="G28" s="77">
        <f>5456*0.6</f>
        <v>3274</v>
      </c>
      <c r="H28" s="77">
        <f>5500*0.6</f>
        <v>3300</v>
      </c>
      <c r="I28" s="102"/>
      <c r="J28" s="102"/>
      <c r="K28" s="102"/>
      <c r="L28" s="152">
        <f t="shared" si="11"/>
        <v>0</v>
      </c>
      <c r="M28" s="153">
        <f t="shared" si="3"/>
        <v>0</v>
      </c>
      <c r="N28" s="153">
        <f t="shared" si="4"/>
        <v>0</v>
      </c>
      <c r="O28" s="153">
        <f t="shared" si="5"/>
        <v>0</v>
      </c>
      <c r="P28" s="153">
        <f t="shared" si="6"/>
        <v>0</v>
      </c>
    </row>
    <row r="29" spans="1:16" s="11" customFormat="1" ht="43.15" customHeight="1" outlineLevel="1" x14ac:dyDescent="0.25">
      <c r="A29" s="132"/>
      <c r="B29" s="25" t="s">
        <v>26</v>
      </c>
      <c r="C29" s="135" t="s">
        <v>221</v>
      </c>
      <c r="D29" s="134" t="s">
        <v>18</v>
      </c>
      <c r="E29" s="86">
        <f t="shared" si="10"/>
        <v>10951</v>
      </c>
      <c r="F29" s="77">
        <f>8744*0.6</f>
        <v>5246</v>
      </c>
      <c r="G29" s="77">
        <f>4736*0.6</f>
        <v>2842</v>
      </c>
      <c r="H29" s="77">
        <f>4771*0.6</f>
        <v>2863</v>
      </c>
      <c r="I29" s="102"/>
      <c r="J29" s="102"/>
      <c r="K29" s="102"/>
      <c r="L29" s="152">
        <f t="shared" si="11"/>
        <v>0</v>
      </c>
      <c r="M29" s="153">
        <f t="shared" si="3"/>
        <v>0</v>
      </c>
      <c r="N29" s="153">
        <f t="shared" si="4"/>
        <v>0</v>
      </c>
      <c r="O29" s="153">
        <f t="shared" si="5"/>
        <v>0</v>
      </c>
      <c r="P29" s="153">
        <f t="shared" si="6"/>
        <v>0</v>
      </c>
    </row>
    <row r="30" spans="1:16" s="11" customFormat="1" ht="31.5" outlineLevel="1" x14ac:dyDescent="0.25">
      <c r="A30" s="132"/>
      <c r="B30" s="25" t="s">
        <v>180</v>
      </c>
      <c r="C30" s="135" t="s">
        <v>94</v>
      </c>
      <c r="D30" s="134" t="s">
        <v>18</v>
      </c>
      <c r="E30" s="86">
        <f t="shared" si="10"/>
        <v>8672</v>
      </c>
      <c r="F30" s="77">
        <f>10400*0.4</f>
        <v>4160</v>
      </c>
      <c r="G30" s="77">
        <f>5620*0.4</f>
        <v>2248</v>
      </c>
      <c r="H30" s="77">
        <f>5660*0.4</f>
        <v>2264</v>
      </c>
      <c r="I30" s="102"/>
      <c r="J30" s="102"/>
      <c r="K30" s="102"/>
      <c r="L30" s="152">
        <f t="shared" si="11"/>
        <v>0</v>
      </c>
      <c r="M30" s="153">
        <f t="shared" si="3"/>
        <v>0</v>
      </c>
      <c r="N30" s="153">
        <f t="shared" si="4"/>
        <v>0</v>
      </c>
      <c r="O30" s="153">
        <f t="shared" si="5"/>
        <v>0</v>
      </c>
      <c r="P30" s="153">
        <f t="shared" si="6"/>
        <v>0</v>
      </c>
    </row>
    <row r="31" spans="1:16" s="11" customFormat="1" ht="31.5" outlineLevel="1" x14ac:dyDescent="0.25">
      <c r="A31" s="132"/>
      <c r="B31" s="25" t="s">
        <v>181</v>
      </c>
      <c r="C31" s="135" t="s">
        <v>222</v>
      </c>
      <c r="D31" s="134" t="s">
        <v>18</v>
      </c>
      <c r="E31" s="86">
        <f t="shared" si="10"/>
        <v>8105</v>
      </c>
      <c r="F31" s="77">
        <f>9630*0.4</f>
        <v>3852</v>
      </c>
      <c r="G31" s="77">
        <f>5292*0.4</f>
        <v>2117</v>
      </c>
      <c r="H31" s="77">
        <f>5340*0.4</f>
        <v>2136</v>
      </c>
      <c r="I31" s="102"/>
      <c r="J31" s="102"/>
      <c r="K31" s="102"/>
      <c r="L31" s="152">
        <f t="shared" si="11"/>
        <v>0</v>
      </c>
      <c r="M31" s="153">
        <f t="shared" si="3"/>
        <v>0</v>
      </c>
      <c r="N31" s="153">
        <f t="shared" si="4"/>
        <v>0</v>
      </c>
      <c r="O31" s="153">
        <f t="shared" si="5"/>
        <v>0</v>
      </c>
      <c r="P31" s="153">
        <f t="shared" si="6"/>
        <v>0</v>
      </c>
    </row>
    <row r="32" spans="1:16" s="11" customFormat="1" ht="31.5" outlineLevel="1" x14ac:dyDescent="0.25">
      <c r="A32" s="132"/>
      <c r="B32" s="25" t="s">
        <v>182</v>
      </c>
      <c r="C32" s="135" t="s">
        <v>98</v>
      </c>
      <c r="D32" s="134" t="s">
        <v>18</v>
      </c>
      <c r="E32" s="86">
        <f t="shared" si="10"/>
        <v>8388</v>
      </c>
      <c r="F32" s="77">
        <f>10016*0.4</f>
        <v>4006</v>
      </c>
      <c r="G32" s="77">
        <f>5456*0.4</f>
        <v>2182</v>
      </c>
      <c r="H32" s="77">
        <f>5500*0.4</f>
        <v>2200</v>
      </c>
      <c r="I32" s="102"/>
      <c r="J32" s="102"/>
      <c r="K32" s="102"/>
      <c r="L32" s="152">
        <f t="shared" si="11"/>
        <v>0</v>
      </c>
      <c r="M32" s="153">
        <f t="shared" si="3"/>
        <v>0</v>
      </c>
      <c r="N32" s="153">
        <f t="shared" si="4"/>
        <v>0</v>
      </c>
      <c r="O32" s="153">
        <f t="shared" si="5"/>
        <v>0</v>
      </c>
      <c r="P32" s="153">
        <f t="shared" si="6"/>
        <v>0</v>
      </c>
    </row>
    <row r="33" spans="1:16" s="11" customFormat="1" ht="31.5" outlineLevel="1" x14ac:dyDescent="0.25">
      <c r="A33" s="132"/>
      <c r="B33" s="25" t="s">
        <v>183</v>
      </c>
      <c r="C33" s="135" t="s">
        <v>221</v>
      </c>
      <c r="D33" s="134" t="s">
        <v>18</v>
      </c>
      <c r="E33" s="86">
        <f t="shared" si="10"/>
        <v>7300</v>
      </c>
      <c r="F33" s="77">
        <f>8744*0.4</f>
        <v>3498</v>
      </c>
      <c r="G33" s="77">
        <f>4736*0.4</f>
        <v>1894</v>
      </c>
      <c r="H33" s="77">
        <f>4771*0.4</f>
        <v>1908</v>
      </c>
      <c r="I33" s="102"/>
      <c r="J33" s="102"/>
      <c r="K33" s="102"/>
      <c r="L33" s="152">
        <f t="shared" si="11"/>
        <v>0</v>
      </c>
      <c r="M33" s="153">
        <f t="shared" si="3"/>
        <v>0</v>
      </c>
      <c r="N33" s="153">
        <f t="shared" si="4"/>
        <v>0</v>
      </c>
      <c r="O33" s="153">
        <f t="shared" si="5"/>
        <v>0</v>
      </c>
      <c r="P33" s="153">
        <f t="shared" si="6"/>
        <v>0</v>
      </c>
    </row>
    <row r="34" spans="1:16" s="11" customFormat="1" ht="34.15" customHeight="1" outlineLevel="1" x14ac:dyDescent="0.25">
      <c r="A34" s="132"/>
      <c r="B34" s="25" t="s">
        <v>184</v>
      </c>
      <c r="C34" s="135" t="s">
        <v>212</v>
      </c>
      <c r="D34" s="134" t="s">
        <v>18</v>
      </c>
      <c r="E34" s="86">
        <f t="shared" si="10"/>
        <v>12350</v>
      </c>
      <c r="F34" s="77">
        <v>6160</v>
      </c>
      <c r="G34" s="77">
        <v>3220</v>
      </c>
      <c r="H34" s="77">
        <v>2970</v>
      </c>
      <c r="I34" s="102"/>
      <c r="J34" s="102"/>
      <c r="K34" s="102"/>
      <c r="L34" s="152">
        <f t="shared" si="11"/>
        <v>0</v>
      </c>
      <c r="M34" s="153">
        <f t="shared" si="3"/>
        <v>0</v>
      </c>
      <c r="N34" s="153">
        <f t="shared" si="4"/>
        <v>0</v>
      </c>
      <c r="O34" s="153">
        <f t="shared" si="5"/>
        <v>0</v>
      </c>
      <c r="P34" s="153">
        <f t="shared" si="6"/>
        <v>0</v>
      </c>
    </row>
    <row r="35" spans="1:16" s="11" customFormat="1" ht="31.5" outlineLevel="1" x14ac:dyDescent="0.25">
      <c r="A35" s="132"/>
      <c r="B35" s="25" t="s">
        <v>185</v>
      </c>
      <c r="C35" s="135" t="s">
        <v>223</v>
      </c>
      <c r="D35" s="134" t="s">
        <v>18</v>
      </c>
      <c r="E35" s="86">
        <f t="shared" si="10"/>
        <v>12350</v>
      </c>
      <c r="F35" s="77">
        <v>6160</v>
      </c>
      <c r="G35" s="77">
        <v>3220</v>
      </c>
      <c r="H35" s="77">
        <v>2970</v>
      </c>
      <c r="I35" s="102"/>
      <c r="J35" s="102"/>
      <c r="K35" s="102"/>
      <c r="L35" s="152">
        <f t="shared" si="11"/>
        <v>0</v>
      </c>
      <c r="M35" s="153">
        <f t="shared" si="3"/>
        <v>0</v>
      </c>
      <c r="N35" s="153">
        <f t="shared" si="4"/>
        <v>0</v>
      </c>
      <c r="O35" s="153">
        <f t="shared" si="5"/>
        <v>0</v>
      </c>
      <c r="P35" s="153">
        <f t="shared" si="6"/>
        <v>0</v>
      </c>
    </row>
    <row r="36" spans="1:16" s="11" customFormat="1" ht="31.5" outlineLevel="1" x14ac:dyDescent="0.25">
      <c r="A36" s="132"/>
      <c r="B36" s="25" t="s">
        <v>186</v>
      </c>
      <c r="C36" s="135" t="s">
        <v>91</v>
      </c>
      <c r="D36" s="134" t="s">
        <v>18</v>
      </c>
      <c r="E36" s="86">
        <f t="shared" si="10"/>
        <v>12350</v>
      </c>
      <c r="F36" s="77">
        <v>6160</v>
      </c>
      <c r="G36" s="77">
        <v>3220</v>
      </c>
      <c r="H36" s="77">
        <v>2970</v>
      </c>
      <c r="I36" s="102"/>
      <c r="J36" s="102"/>
      <c r="K36" s="102"/>
      <c r="L36" s="152">
        <f t="shared" si="11"/>
        <v>0</v>
      </c>
      <c r="M36" s="153">
        <f t="shared" si="3"/>
        <v>0</v>
      </c>
      <c r="N36" s="153">
        <f t="shared" si="4"/>
        <v>0</v>
      </c>
      <c r="O36" s="153">
        <f t="shared" si="5"/>
        <v>0</v>
      </c>
      <c r="P36" s="153">
        <f t="shared" si="6"/>
        <v>0</v>
      </c>
    </row>
    <row r="37" spans="1:16" s="11" customFormat="1" ht="46.9" customHeight="1" outlineLevel="1" x14ac:dyDescent="0.25">
      <c r="A37" s="132"/>
      <c r="B37" s="25" t="s">
        <v>187</v>
      </c>
      <c r="C37" s="135" t="s">
        <v>223</v>
      </c>
      <c r="D37" s="134" t="s">
        <v>18</v>
      </c>
      <c r="E37" s="86">
        <f t="shared" si="10"/>
        <v>12350</v>
      </c>
      <c r="F37" s="77">
        <v>6160</v>
      </c>
      <c r="G37" s="77">
        <v>3220</v>
      </c>
      <c r="H37" s="77">
        <v>2970</v>
      </c>
      <c r="I37" s="102"/>
      <c r="J37" s="102"/>
      <c r="K37" s="102"/>
      <c r="L37" s="152">
        <f t="shared" si="11"/>
        <v>0</v>
      </c>
      <c r="M37" s="153">
        <f t="shared" si="3"/>
        <v>0</v>
      </c>
      <c r="N37" s="153">
        <f t="shared" si="4"/>
        <v>0</v>
      </c>
      <c r="O37" s="153">
        <f t="shared" si="5"/>
        <v>0</v>
      </c>
      <c r="P37" s="153">
        <f t="shared" si="6"/>
        <v>0</v>
      </c>
    </row>
    <row r="38" spans="1:16" s="10" customFormat="1" ht="36.75" customHeight="1" x14ac:dyDescent="0.25">
      <c r="A38" s="129" t="s">
        <v>127</v>
      </c>
      <c r="B38" s="27" t="s">
        <v>115</v>
      </c>
      <c r="C38" s="130" t="s">
        <v>140</v>
      </c>
      <c r="D38" s="131"/>
      <c r="E38" s="74"/>
      <c r="F38" s="74"/>
      <c r="G38" s="74"/>
      <c r="H38" s="74"/>
      <c r="I38" s="112"/>
      <c r="J38" s="112"/>
      <c r="K38" s="112"/>
      <c r="L38" s="150"/>
      <c r="M38" s="151">
        <f>SUM(M39)</f>
        <v>0</v>
      </c>
      <c r="N38" s="151">
        <f t="shared" ref="N38:P38" si="20">SUM(N39)</f>
        <v>0</v>
      </c>
      <c r="O38" s="151">
        <f t="shared" si="20"/>
        <v>0</v>
      </c>
      <c r="P38" s="151">
        <f t="shared" si="20"/>
        <v>0</v>
      </c>
    </row>
    <row r="39" spans="1:16" s="10" customFormat="1" ht="26.25" customHeight="1" outlineLevel="1" x14ac:dyDescent="0.25">
      <c r="A39" s="136"/>
      <c r="B39" s="115" t="s">
        <v>116</v>
      </c>
      <c r="C39" s="137" t="s">
        <v>165</v>
      </c>
      <c r="D39" s="138"/>
      <c r="E39" s="120"/>
      <c r="F39" s="120"/>
      <c r="G39" s="120"/>
      <c r="H39" s="120"/>
      <c r="I39" s="122"/>
      <c r="J39" s="122"/>
      <c r="K39" s="122"/>
      <c r="L39" s="154"/>
      <c r="M39" s="155">
        <f>SUM(M40:M64)</f>
        <v>0</v>
      </c>
      <c r="N39" s="155">
        <f t="shared" ref="N39:P39" si="21">SUM(N40:N64)</f>
        <v>0</v>
      </c>
      <c r="O39" s="155">
        <f t="shared" si="21"/>
        <v>0</v>
      </c>
      <c r="P39" s="155">
        <f t="shared" si="21"/>
        <v>0</v>
      </c>
    </row>
    <row r="40" spans="1:16" s="11" customFormat="1" ht="47.25" outlineLevel="1" x14ac:dyDescent="0.25">
      <c r="A40" s="132"/>
      <c r="B40" s="25" t="s">
        <v>117</v>
      </c>
      <c r="C40" s="139" t="s">
        <v>77</v>
      </c>
      <c r="D40" s="26" t="s">
        <v>65</v>
      </c>
      <c r="E40" s="86">
        <f t="shared" ref="E40:E64" si="22">SUM(F40:H40)</f>
        <v>127322</v>
      </c>
      <c r="F40" s="80">
        <v>62887</v>
      </c>
      <c r="G40" s="80">
        <v>34191</v>
      </c>
      <c r="H40" s="80">
        <v>30244</v>
      </c>
      <c r="I40" s="102"/>
      <c r="J40" s="102"/>
      <c r="K40" s="102"/>
      <c r="L40" s="152">
        <f>SUM(I40:K40)</f>
        <v>0</v>
      </c>
      <c r="M40" s="153">
        <f>E40*I40</f>
        <v>0</v>
      </c>
      <c r="N40" s="153">
        <f t="shared" ref="N40:N64" si="23">E40*J40</f>
        <v>0</v>
      </c>
      <c r="O40" s="153">
        <f>K40*E40</f>
        <v>0</v>
      </c>
      <c r="P40" s="153">
        <f>L40*E40</f>
        <v>0</v>
      </c>
    </row>
    <row r="41" spans="1:16" s="11" customFormat="1" ht="31.5" outlineLevel="1" x14ac:dyDescent="0.25">
      <c r="A41" s="132"/>
      <c r="B41" s="25" t="s">
        <v>118</v>
      </c>
      <c r="C41" s="139" t="s">
        <v>78</v>
      </c>
      <c r="D41" s="26" t="s">
        <v>65</v>
      </c>
      <c r="E41" s="86">
        <f t="shared" si="22"/>
        <v>3442</v>
      </c>
      <c r="F41" s="80">
        <v>1700</v>
      </c>
      <c r="G41" s="80">
        <v>924</v>
      </c>
      <c r="H41" s="80">
        <v>818</v>
      </c>
      <c r="I41" s="102"/>
      <c r="J41" s="102"/>
      <c r="K41" s="102"/>
      <c r="L41" s="152">
        <f>SUM(I41:K41)</f>
        <v>0</v>
      </c>
      <c r="M41" s="153">
        <f>E41*I41</f>
        <v>0</v>
      </c>
      <c r="N41" s="153">
        <f t="shared" si="23"/>
        <v>0</v>
      </c>
      <c r="O41" s="153">
        <f>K41*E41</f>
        <v>0</v>
      </c>
      <c r="P41" s="153">
        <f>L41*E41</f>
        <v>0</v>
      </c>
    </row>
    <row r="42" spans="1:16" s="11" customFormat="1" ht="31.5" outlineLevel="1" x14ac:dyDescent="0.25">
      <c r="A42" s="132"/>
      <c r="B42" s="25" t="s">
        <v>119</v>
      </c>
      <c r="C42" s="139" t="s">
        <v>79</v>
      </c>
      <c r="D42" s="26" t="s">
        <v>65</v>
      </c>
      <c r="E42" s="86">
        <f t="shared" si="22"/>
        <v>64860</v>
      </c>
      <c r="F42" s="80">
        <v>32036</v>
      </c>
      <c r="G42" s="80">
        <v>17417</v>
      </c>
      <c r="H42" s="80">
        <v>15407</v>
      </c>
      <c r="I42" s="102"/>
      <c r="J42" s="102"/>
      <c r="K42" s="102"/>
      <c r="L42" s="152">
        <f>SUM(I42:K42)</f>
        <v>0</v>
      </c>
      <c r="M42" s="153">
        <f>E42*I42</f>
        <v>0</v>
      </c>
      <c r="N42" s="153">
        <f t="shared" si="23"/>
        <v>0</v>
      </c>
      <c r="O42" s="153">
        <f>K42*E42</f>
        <v>0</v>
      </c>
      <c r="P42" s="153">
        <f>L42*E42</f>
        <v>0</v>
      </c>
    </row>
    <row r="43" spans="1:16" s="11" customFormat="1" ht="51.75" customHeight="1" outlineLevel="1" x14ac:dyDescent="0.25">
      <c r="A43" s="132"/>
      <c r="B43" s="25" t="s">
        <v>120</v>
      </c>
      <c r="C43" s="139" t="s">
        <v>109</v>
      </c>
      <c r="D43" s="26" t="s">
        <v>65</v>
      </c>
      <c r="E43" s="86">
        <f t="shared" si="22"/>
        <v>36630</v>
      </c>
      <c r="F43" s="80">
        <f>25846.37*0.7</f>
        <v>18092</v>
      </c>
      <c r="G43" s="80">
        <f>14052.26*0.7</f>
        <v>9837</v>
      </c>
      <c r="H43" s="80">
        <f>12430.01*0.7</f>
        <v>8701</v>
      </c>
      <c r="I43" s="102"/>
      <c r="J43" s="102"/>
      <c r="K43" s="102"/>
      <c r="L43" s="152">
        <f t="shared" ref="L43:L45" si="24">SUM(I43:K43)</f>
        <v>0</v>
      </c>
      <c r="M43" s="153">
        <f t="shared" ref="M43:M45" si="25">E43*I43</f>
        <v>0</v>
      </c>
      <c r="N43" s="153">
        <f t="shared" si="23"/>
        <v>0</v>
      </c>
      <c r="O43" s="153">
        <f t="shared" ref="O43:O45" si="26">K43*E43</f>
        <v>0</v>
      </c>
      <c r="P43" s="153">
        <f t="shared" ref="P43:P45" si="27">L43*E43</f>
        <v>0</v>
      </c>
    </row>
    <row r="44" spans="1:16" s="11" customFormat="1" ht="31.5" outlineLevel="1" x14ac:dyDescent="0.25">
      <c r="A44" s="132"/>
      <c r="B44" s="25" t="s">
        <v>131</v>
      </c>
      <c r="C44" s="139" t="s">
        <v>110</v>
      </c>
      <c r="D44" s="26" t="s">
        <v>65</v>
      </c>
      <c r="E44" s="86">
        <f t="shared" si="22"/>
        <v>433</v>
      </c>
      <c r="F44" s="80">
        <f>305.64*0.7</f>
        <v>214</v>
      </c>
      <c r="G44" s="80">
        <f>166.18*0.7</f>
        <v>116</v>
      </c>
      <c r="H44" s="80">
        <f>147*0.7</f>
        <v>103</v>
      </c>
      <c r="I44" s="102"/>
      <c r="J44" s="102"/>
      <c r="K44" s="102"/>
      <c r="L44" s="152">
        <f t="shared" si="24"/>
        <v>0</v>
      </c>
      <c r="M44" s="153">
        <f t="shared" si="25"/>
        <v>0</v>
      </c>
      <c r="N44" s="153">
        <f t="shared" si="23"/>
        <v>0</v>
      </c>
      <c r="O44" s="153">
        <f t="shared" si="26"/>
        <v>0</v>
      </c>
      <c r="P44" s="153">
        <f t="shared" si="27"/>
        <v>0</v>
      </c>
    </row>
    <row r="45" spans="1:16" s="11" customFormat="1" ht="31.5" outlineLevel="1" x14ac:dyDescent="0.25">
      <c r="A45" s="132"/>
      <c r="B45" s="25" t="s">
        <v>132</v>
      </c>
      <c r="C45" s="139" t="s">
        <v>111</v>
      </c>
      <c r="D45" s="26" t="s">
        <v>65</v>
      </c>
      <c r="E45" s="86">
        <f t="shared" si="22"/>
        <v>10694</v>
      </c>
      <c r="F45" s="80">
        <f>7545.7*0.7</f>
        <v>5282</v>
      </c>
      <c r="G45" s="80">
        <f>4102.47*0.7</f>
        <v>2872</v>
      </c>
      <c r="H45" s="80">
        <f>3628.87*0.7</f>
        <v>2540</v>
      </c>
      <c r="I45" s="102"/>
      <c r="J45" s="102"/>
      <c r="K45" s="102"/>
      <c r="L45" s="152">
        <f t="shared" si="24"/>
        <v>0</v>
      </c>
      <c r="M45" s="153">
        <f t="shared" si="25"/>
        <v>0</v>
      </c>
      <c r="N45" s="153">
        <f t="shared" si="23"/>
        <v>0</v>
      </c>
      <c r="O45" s="153">
        <f t="shared" si="26"/>
        <v>0</v>
      </c>
      <c r="P45" s="153">
        <f t="shared" si="27"/>
        <v>0</v>
      </c>
    </row>
    <row r="46" spans="1:16" s="11" customFormat="1" ht="31.5" outlineLevel="1" x14ac:dyDescent="0.25">
      <c r="A46" s="132"/>
      <c r="B46" s="25" t="s">
        <v>133</v>
      </c>
      <c r="C46" s="139" t="s">
        <v>112</v>
      </c>
      <c r="D46" s="26" t="s">
        <v>65</v>
      </c>
      <c r="E46" s="86">
        <f t="shared" si="22"/>
        <v>15699</v>
      </c>
      <c r="F46" s="80">
        <f>25846.37*0.3</f>
        <v>7754</v>
      </c>
      <c r="G46" s="80">
        <f>14052.26*0.3</f>
        <v>4216</v>
      </c>
      <c r="H46" s="80">
        <f>12430.01*0.3</f>
        <v>3729</v>
      </c>
      <c r="I46" s="102"/>
      <c r="J46" s="102"/>
      <c r="K46" s="102"/>
      <c r="L46" s="152">
        <f>SUM(I46:K46)</f>
        <v>0</v>
      </c>
      <c r="M46" s="153">
        <f>E46*I46</f>
        <v>0</v>
      </c>
      <c r="N46" s="153">
        <f t="shared" si="23"/>
        <v>0</v>
      </c>
      <c r="O46" s="153">
        <f>K46*E46</f>
        <v>0</v>
      </c>
      <c r="P46" s="153">
        <f>L46*E46</f>
        <v>0</v>
      </c>
    </row>
    <row r="47" spans="1:16" s="11" customFormat="1" ht="31.5" outlineLevel="1" x14ac:dyDescent="0.25">
      <c r="A47" s="132"/>
      <c r="B47" s="25" t="s">
        <v>134</v>
      </c>
      <c r="C47" s="139" t="s">
        <v>113</v>
      </c>
      <c r="D47" s="26" t="s">
        <v>65</v>
      </c>
      <c r="E47" s="86">
        <f t="shared" si="22"/>
        <v>186</v>
      </c>
      <c r="F47" s="80">
        <f>305.64*0.3</f>
        <v>92</v>
      </c>
      <c r="G47" s="80">
        <f>166.18*0.3</f>
        <v>50</v>
      </c>
      <c r="H47" s="80">
        <f>147*0.3</f>
        <v>44</v>
      </c>
      <c r="I47" s="102"/>
      <c r="J47" s="102"/>
      <c r="K47" s="102"/>
      <c r="L47" s="152">
        <f t="shared" ref="L47:L63" si="28">SUM(I47:K47)</f>
        <v>0</v>
      </c>
      <c r="M47" s="153">
        <f t="shared" ref="M47:M64" si="29">E47*I47</f>
        <v>0</v>
      </c>
      <c r="N47" s="153">
        <f t="shared" si="23"/>
        <v>0</v>
      </c>
      <c r="O47" s="153">
        <f t="shared" ref="O47:O64" si="30">K47*E47</f>
        <v>0</v>
      </c>
      <c r="P47" s="153">
        <f t="shared" ref="P47:P64" si="31">L47*E47</f>
        <v>0</v>
      </c>
    </row>
    <row r="48" spans="1:16" s="11" customFormat="1" ht="31.5" outlineLevel="1" x14ac:dyDescent="0.25">
      <c r="A48" s="132"/>
      <c r="B48" s="25" t="s">
        <v>135</v>
      </c>
      <c r="C48" s="139" t="s">
        <v>177</v>
      </c>
      <c r="D48" s="26" t="s">
        <v>65</v>
      </c>
      <c r="E48" s="86">
        <f t="shared" si="22"/>
        <v>4584</v>
      </c>
      <c r="F48" s="80">
        <f>7545.7*0.3</f>
        <v>2264</v>
      </c>
      <c r="G48" s="80">
        <f>4102.47*0.3</f>
        <v>1231</v>
      </c>
      <c r="H48" s="80">
        <f>3628.87*0.3</f>
        <v>1089</v>
      </c>
      <c r="I48" s="102"/>
      <c r="J48" s="102"/>
      <c r="K48" s="102"/>
      <c r="L48" s="152">
        <f t="shared" si="28"/>
        <v>0</v>
      </c>
      <c r="M48" s="153">
        <f t="shared" si="29"/>
        <v>0</v>
      </c>
      <c r="N48" s="153">
        <f t="shared" si="23"/>
        <v>0</v>
      </c>
      <c r="O48" s="153">
        <f t="shared" si="30"/>
        <v>0</v>
      </c>
      <c r="P48" s="153">
        <f t="shared" si="31"/>
        <v>0</v>
      </c>
    </row>
    <row r="49" spans="1:16" s="11" customFormat="1" ht="31.5" outlineLevel="1" x14ac:dyDescent="0.25">
      <c r="A49" s="132"/>
      <c r="B49" s="25" t="s">
        <v>136</v>
      </c>
      <c r="C49" s="139" t="s">
        <v>178</v>
      </c>
      <c r="D49" s="26" t="s">
        <v>65</v>
      </c>
      <c r="E49" s="86">
        <f t="shared" si="22"/>
        <v>142085</v>
      </c>
      <c r="F49" s="80">
        <v>70134</v>
      </c>
      <c r="G49" s="80">
        <v>38468</v>
      </c>
      <c r="H49" s="80">
        <v>33483</v>
      </c>
      <c r="I49" s="102"/>
      <c r="J49" s="102"/>
      <c r="K49" s="102"/>
      <c r="L49" s="152">
        <f t="shared" si="28"/>
        <v>0</v>
      </c>
      <c r="M49" s="153">
        <f t="shared" si="29"/>
        <v>0</v>
      </c>
      <c r="N49" s="153">
        <f t="shared" si="23"/>
        <v>0</v>
      </c>
      <c r="O49" s="153">
        <f t="shared" si="30"/>
        <v>0</v>
      </c>
      <c r="P49" s="153">
        <f t="shared" si="31"/>
        <v>0</v>
      </c>
    </row>
    <row r="50" spans="1:16" s="11" customFormat="1" outlineLevel="1" x14ac:dyDescent="0.25">
      <c r="A50" s="132"/>
      <c r="B50" s="25" t="s">
        <v>137</v>
      </c>
      <c r="C50" s="139" t="s">
        <v>66</v>
      </c>
      <c r="D50" s="26" t="s">
        <v>65</v>
      </c>
      <c r="E50" s="86">
        <f t="shared" si="22"/>
        <v>113127</v>
      </c>
      <c r="F50" s="80">
        <v>55876</v>
      </c>
      <c r="G50" s="80">
        <v>30379</v>
      </c>
      <c r="H50" s="80">
        <v>26872</v>
      </c>
      <c r="I50" s="102"/>
      <c r="J50" s="102"/>
      <c r="K50" s="102"/>
      <c r="L50" s="152">
        <f t="shared" si="28"/>
        <v>0</v>
      </c>
      <c r="M50" s="153">
        <f t="shared" si="29"/>
        <v>0</v>
      </c>
      <c r="N50" s="153">
        <f t="shared" si="23"/>
        <v>0</v>
      </c>
      <c r="O50" s="153">
        <f t="shared" si="30"/>
        <v>0</v>
      </c>
      <c r="P50" s="153">
        <f t="shared" si="31"/>
        <v>0</v>
      </c>
    </row>
    <row r="51" spans="1:16" s="11" customFormat="1" outlineLevel="1" x14ac:dyDescent="0.25">
      <c r="A51" s="132"/>
      <c r="B51" s="25" t="s">
        <v>138</v>
      </c>
      <c r="C51" s="139" t="s">
        <v>67</v>
      </c>
      <c r="D51" s="26" t="s">
        <v>65</v>
      </c>
      <c r="E51" s="86">
        <f t="shared" si="22"/>
        <v>5608</v>
      </c>
      <c r="F51" s="80">
        <v>2770</v>
      </c>
      <c r="G51" s="80">
        <v>1506</v>
      </c>
      <c r="H51" s="80">
        <v>1332</v>
      </c>
      <c r="I51" s="102"/>
      <c r="J51" s="102"/>
      <c r="K51" s="102"/>
      <c r="L51" s="152">
        <f t="shared" si="28"/>
        <v>0</v>
      </c>
      <c r="M51" s="153">
        <f t="shared" si="29"/>
        <v>0</v>
      </c>
      <c r="N51" s="153">
        <f t="shared" si="23"/>
        <v>0</v>
      </c>
      <c r="O51" s="153">
        <f t="shared" si="30"/>
        <v>0</v>
      </c>
      <c r="P51" s="153">
        <f t="shared" si="31"/>
        <v>0</v>
      </c>
    </row>
    <row r="52" spans="1:16" s="11" customFormat="1" outlineLevel="1" x14ac:dyDescent="0.25">
      <c r="A52" s="132"/>
      <c r="B52" s="25" t="s">
        <v>139</v>
      </c>
      <c r="C52" s="139" t="s">
        <v>68</v>
      </c>
      <c r="D52" s="26" t="s">
        <v>65</v>
      </c>
      <c r="E52" s="86">
        <f t="shared" si="22"/>
        <v>16592</v>
      </c>
      <c r="F52" s="80">
        <v>8195</v>
      </c>
      <c r="G52" s="80">
        <v>4456</v>
      </c>
      <c r="H52" s="80">
        <v>3941</v>
      </c>
      <c r="I52" s="102"/>
      <c r="J52" s="102"/>
      <c r="K52" s="102"/>
      <c r="L52" s="152">
        <f t="shared" si="28"/>
        <v>0</v>
      </c>
      <c r="M52" s="153">
        <f t="shared" si="29"/>
        <v>0</v>
      </c>
      <c r="N52" s="153">
        <f t="shared" si="23"/>
        <v>0</v>
      </c>
      <c r="O52" s="153">
        <f t="shared" si="30"/>
        <v>0</v>
      </c>
      <c r="P52" s="153">
        <f t="shared" si="31"/>
        <v>0</v>
      </c>
    </row>
    <row r="53" spans="1:16" s="11" customFormat="1" outlineLevel="1" x14ac:dyDescent="0.25">
      <c r="A53" s="132"/>
      <c r="B53" s="25" t="s">
        <v>188</v>
      </c>
      <c r="C53" s="139" t="s">
        <v>202</v>
      </c>
      <c r="D53" s="26" t="s">
        <v>65</v>
      </c>
      <c r="E53" s="86">
        <f t="shared" si="22"/>
        <v>33154</v>
      </c>
      <c r="F53" s="80">
        <v>16365</v>
      </c>
      <c r="G53" s="80">
        <v>8976</v>
      </c>
      <c r="H53" s="80">
        <v>7813</v>
      </c>
      <c r="I53" s="102"/>
      <c r="J53" s="102"/>
      <c r="K53" s="102"/>
      <c r="L53" s="152">
        <f t="shared" ref="L53:L55" si="32">SUM(I53:K53)</f>
        <v>0</v>
      </c>
      <c r="M53" s="153">
        <f t="shared" si="29"/>
        <v>0</v>
      </c>
      <c r="N53" s="153">
        <f t="shared" si="23"/>
        <v>0</v>
      </c>
      <c r="O53" s="153">
        <f t="shared" si="30"/>
        <v>0</v>
      </c>
      <c r="P53" s="153">
        <f t="shared" si="31"/>
        <v>0</v>
      </c>
    </row>
    <row r="54" spans="1:16" s="11" customFormat="1" outlineLevel="1" x14ac:dyDescent="0.25">
      <c r="A54" s="132"/>
      <c r="B54" s="25" t="s">
        <v>189</v>
      </c>
      <c r="C54" s="139" t="s">
        <v>203</v>
      </c>
      <c r="D54" s="26" t="s">
        <v>65</v>
      </c>
      <c r="E54" s="86">
        <f t="shared" si="22"/>
        <v>43152</v>
      </c>
      <c r="F54" s="80">
        <v>21300</v>
      </c>
      <c r="G54" s="80">
        <v>11683</v>
      </c>
      <c r="H54" s="80">
        <v>10169</v>
      </c>
      <c r="I54" s="102"/>
      <c r="J54" s="102"/>
      <c r="K54" s="102"/>
      <c r="L54" s="152">
        <f t="shared" si="32"/>
        <v>0</v>
      </c>
      <c r="M54" s="153">
        <f t="shared" si="29"/>
        <v>0</v>
      </c>
      <c r="N54" s="153">
        <f t="shared" si="23"/>
        <v>0</v>
      </c>
      <c r="O54" s="153">
        <f t="shared" si="30"/>
        <v>0</v>
      </c>
      <c r="P54" s="153">
        <f t="shared" si="31"/>
        <v>0</v>
      </c>
    </row>
    <row r="55" spans="1:16" s="11" customFormat="1" outlineLevel="1" x14ac:dyDescent="0.25">
      <c r="A55" s="132"/>
      <c r="B55" s="25" t="s">
        <v>190</v>
      </c>
      <c r="C55" s="139" t="s">
        <v>204</v>
      </c>
      <c r="D55" s="26" t="s">
        <v>65</v>
      </c>
      <c r="E55" s="86">
        <f t="shared" si="22"/>
        <v>65779</v>
      </c>
      <c r="F55" s="80">
        <v>32469</v>
      </c>
      <c r="G55" s="80">
        <v>17809</v>
      </c>
      <c r="H55" s="80">
        <v>15501</v>
      </c>
      <c r="I55" s="102"/>
      <c r="J55" s="102"/>
      <c r="K55" s="102"/>
      <c r="L55" s="152">
        <f t="shared" si="32"/>
        <v>0</v>
      </c>
      <c r="M55" s="153">
        <f t="shared" si="29"/>
        <v>0</v>
      </c>
      <c r="N55" s="153">
        <f t="shared" si="23"/>
        <v>0</v>
      </c>
      <c r="O55" s="153">
        <f t="shared" si="30"/>
        <v>0</v>
      </c>
      <c r="P55" s="153">
        <f t="shared" si="31"/>
        <v>0</v>
      </c>
    </row>
    <row r="56" spans="1:16" s="11" customFormat="1" ht="31.5" outlineLevel="1" x14ac:dyDescent="0.25">
      <c r="A56" s="132"/>
      <c r="B56" s="25" t="s">
        <v>191</v>
      </c>
      <c r="C56" s="139" t="s">
        <v>205</v>
      </c>
      <c r="D56" s="26" t="s">
        <v>65</v>
      </c>
      <c r="E56" s="86">
        <f t="shared" si="22"/>
        <v>119973</v>
      </c>
      <c r="F56" s="80">
        <v>59258</v>
      </c>
      <c r="G56" s="80">
        <v>32217</v>
      </c>
      <c r="H56" s="80">
        <v>28498</v>
      </c>
      <c r="I56" s="102"/>
      <c r="J56" s="102"/>
      <c r="K56" s="102"/>
      <c r="L56" s="152">
        <f t="shared" si="28"/>
        <v>0</v>
      </c>
      <c r="M56" s="153">
        <f t="shared" si="29"/>
        <v>0</v>
      </c>
      <c r="N56" s="153">
        <f t="shared" si="23"/>
        <v>0</v>
      </c>
      <c r="O56" s="153">
        <f t="shared" si="30"/>
        <v>0</v>
      </c>
      <c r="P56" s="153">
        <f t="shared" si="31"/>
        <v>0</v>
      </c>
    </row>
    <row r="57" spans="1:16" s="11" customFormat="1" outlineLevel="1" x14ac:dyDescent="0.25">
      <c r="A57" s="132"/>
      <c r="B57" s="25" t="s">
        <v>192</v>
      </c>
      <c r="C57" s="139" t="s">
        <v>206</v>
      </c>
      <c r="D57" s="26" t="s">
        <v>65</v>
      </c>
      <c r="E57" s="86">
        <f t="shared" si="22"/>
        <v>5918</v>
      </c>
      <c r="F57" s="80">
        <v>2923</v>
      </c>
      <c r="G57" s="80">
        <v>1589</v>
      </c>
      <c r="H57" s="80">
        <v>1406</v>
      </c>
      <c r="I57" s="102"/>
      <c r="J57" s="102"/>
      <c r="K57" s="102"/>
      <c r="L57" s="152">
        <f t="shared" si="28"/>
        <v>0</v>
      </c>
      <c r="M57" s="153">
        <f t="shared" si="29"/>
        <v>0</v>
      </c>
      <c r="N57" s="153">
        <f t="shared" si="23"/>
        <v>0</v>
      </c>
      <c r="O57" s="153">
        <f t="shared" si="30"/>
        <v>0</v>
      </c>
      <c r="P57" s="153">
        <f t="shared" si="31"/>
        <v>0</v>
      </c>
    </row>
    <row r="58" spans="1:16" s="11" customFormat="1" outlineLevel="1" x14ac:dyDescent="0.25">
      <c r="A58" s="132"/>
      <c r="B58" s="25" t="s">
        <v>193</v>
      </c>
      <c r="C58" s="139" t="s">
        <v>207</v>
      </c>
      <c r="D58" s="26" t="s">
        <v>65</v>
      </c>
      <c r="E58" s="86">
        <f t="shared" si="22"/>
        <v>154859</v>
      </c>
      <c r="F58" s="80">
        <v>76488</v>
      </c>
      <c r="G58" s="80">
        <v>41586</v>
      </c>
      <c r="H58" s="80">
        <v>36785</v>
      </c>
      <c r="I58" s="102"/>
      <c r="J58" s="102"/>
      <c r="K58" s="102"/>
      <c r="L58" s="152">
        <f t="shared" si="28"/>
        <v>0</v>
      </c>
      <c r="M58" s="153">
        <f t="shared" si="29"/>
        <v>0</v>
      </c>
      <c r="N58" s="153">
        <f t="shared" si="23"/>
        <v>0</v>
      </c>
      <c r="O58" s="153">
        <f t="shared" si="30"/>
        <v>0</v>
      </c>
      <c r="P58" s="153">
        <f t="shared" si="31"/>
        <v>0</v>
      </c>
    </row>
    <row r="59" spans="1:16" s="11" customFormat="1" outlineLevel="1" x14ac:dyDescent="0.25">
      <c r="A59" s="132"/>
      <c r="B59" s="25" t="s">
        <v>194</v>
      </c>
      <c r="C59" s="139" t="s">
        <v>208</v>
      </c>
      <c r="D59" s="26" t="s">
        <v>65</v>
      </c>
      <c r="E59" s="86">
        <f t="shared" si="22"/>
        <v>12028</v>
      </c>
      <c r="F59" s="80">
        <v>5941</v>
      </c>
      <c r="G59" s="80">
        <v>3230</v>
      </c>
      <c r="H59" s="80">
        <v>2857</v>
      </c>
      <c r="I59" s="102"/>
      <c r="J59" s="102"/>
      <c r="K59" s="102"/>
      <c r="L59" s="152">
        <f t="shared" si="28"/>
        <v>0</v>
      </c>
      <c r="M59" s="153">
        <f t="shared" si="29"/>
        <v>0</v>
      </c>
      <c r="N59" s="153">
        <f t="shared" si="23"/>
        <v>0</v>
      </c>
      <c r="O59" s="153">
        <f t="shared" si="30"/>
        <v>0</v>
      </c>
      <c r="P59" s="153">
        <f t="shared" si="31"/>
        <v>0</v>
      </c>
    </row>
    <row r="60" spans="1:16" s="11" customFormat="1" ht="31.5" outlineLevel="1" x14ac:dyDescent="0.25">
      <c r="A60" s="132"/>
      <c r="B60" s="25" t="s">
        <v>195</v>
      </c>
      <c r="C60" s="139" t="s">
        <v>209</v>
      </c>
      <c r="D60" s="26" t="s">
        <v>65</v>
      </c>
      <c r="E60" s="86">
        <f t="shared" si="22"/>
        <v>9670</v>
      </c>
      <c r="F60" s="80">
        <v>4776</v>
      </c>
      <c r="G60" s="80">
        <v>2597</v>
      </c>
      <c r="H60" s="80">
        <v>2297</v>
      </c>
      <c r="I60" s="102"/>
      <c r="J60" s="102"/>
      <c r="K60" s="102"/>
      <c r="L60" s="152">
        <f t="shared" si="28"/>
        <v>0</v>
      </c>
      <c r="M60" s="153">
        <f t="shared" si="29"/>
        <v>0</v>
      </c>
      <c r="N60" s="153">
        <f t="shared" si="23"/>
        <v>0</v>
      </c>
      <c r="O60" s="153">
        <f t="shared" si="30"/>
        <v>0</v>
      </c>
      <c r="P60" s="153">
        <f t="shared" si="31"/>
        <v>0</v>
      </c>
    </row>
    <row r="61" spans="1:16" s="11" customFormat="1" ht="31.5" outlineLevel="1" x14ac:dyDescent="0.25">
      <c r="A61" s="132"/>
      <c r="B61" s="25" t="s">
        <v>196</v>
      </c>
      <c r="C61" s="139" t="s">
        <v>210</v>
      </c>
      <c r="D61" s="26" t="s">
        <v>65</v>
      </c>
      <c r="E61" s="86">
        <f t="shared" si="22"/>
        <v>9631</v>
      </c>
      <c r="F61" s="80">
        <v>4757</v>
      </c>
      <c r="G61" s="80">
        <v>2586</v>
      </c>
      <c r="H61" s="80">
        <v>2288</v>
      </c>
      <c r="I61" s="102"/>
      <c r="J61" s="102"/>
      <c r="K61" s="102"/>
      <c r="L61" s="152">
        <f t="shared" si="28"/>
        <v>0</v>
      </c>
      <c r="M61" s="153">
        <f t="shared" si="29"/>
        <v>0</v>
      </c>
      <c r="N61" s="153">
        <f t="shared" si="23"/>
        <v>0</v>
      </c>
      <c r="O61" s="153">
        <f t="shared" si="30"/>
        <v>0</v>
      </c>
      <c r="P61" s="153">
        <f t="shared" si="31"/>
        <v>0</v>
      </c>
    </row>
    <row r="62" spans="1:16" s="11" customFormat="1" ht="31.5" outlineLevel="1" x14ac:dyDescent="0.25">
      <c r="A62" s="132"/>
      <c r="B62" s="25" t="s">
        <v>197</v>
      </c>
      <c r="C62" s="139" t="s">
        <v>211</v>
      </c>
      <c r="D62" s="26" t="s">
        <v>65</v>
      </c>
      <c r="E62" s="86">
        <f t="shared" si="22"/>
        <v>25293</v>
      </c>
      <c r="F62" s="80">
        <v>12493</v>
      </c>
      <c r="G62" s="80">
        <v>6792</v>
      </c>
      <c r="H62" s="80">
        <v>6008</v>
      </c>
      <c r="I62" s="102"/>
      <c r="J62" s="102"/>
      <c r="K62" s="102"/>
      <c r="L62" s="152">
        <f t="shared" si="28"/>
        <v>0</v>
      </c>
      <c r="M62" s="153">
        <f t="shared" si="29"/>
        <v>0</v>
      </c>
      <c r="N62" s="153">
        <f t="shared" si="23"/>
        <v>0</v>
      </c>
      <c r="O62" s="153">
        <f t="shared" si="30"/>
        <v>0</v>
      </c>
      <c r="P62" s="153">
        <f t="shared" si="31"/>
        <v>0</v>
      </c>
    </row>
    <row r="63" spans="1:16" s="11" customFormat="1" outlineLevel="1" x14ac:dyDescent="0.25">
      <c r="A63" s="132"/>
      <c r="B63" s="25" t="s">
        <v>198</v>
      </c>
      <c r="C63" s="139" t="s">
        <v>76</v>
      </c>
      <c r="D63" s="26" t="s">
        <v>65</v>
      </c>
      <c r="E63" s="86">
        <f t="shared" si="22"/>
        <v>61805</v>
      </c>
      <c r="F63" s="80">
        <v>30527</v>
      </c>
      <c r="G63" s="80">
        <v>16597</v>
      </c>
      <c r="H63" s="80">
        <v>14681</v>
      </c>
      <c r="I63" s="102"/>
      <c r="J63" s="102"/>
      <c r="K63" s="102"/>
      <c r="L63" s="152">
        <f t="shared" si="28"/>
        <v>0</v>
      </c>
      <c r="M63" s="153">
        <f t="shared" si="29"/>
        <v>0</v>
      </c>
      <c r="N63" s="153">
        <f t="shared" si="23"/>
        <v>0</v>
      </c>
      <c r="O63" s="153">
        <f t="shared" si="30"/>
        <v>0</v>
      </c>
      <c r="P63" s="153">
        <f t="shared" si="31"/>
        <v>0</v>
      </c>
    </row>
    <row r="64" spans="1:16" s="11" customFormat="1" outlineLevel="1" x14ac:dyDescent="0.25">
      <c r="A64" s="132"/>
      <c r="B64" s="25" t="s">
        <v>199</v>
      </c>
      <c r="C64" s="139" t="s">
        <v>82</v>
      </c>
      <c r="D64" s="26" t="s">
        <v>85</v>
      </c>
      <c r="E64" s="86">
        <f t="shared" si="22"/>
        <v>3</v>
      </c>
      <c r="F64" s="80">
        <v>1</v>
      </c>
      <c r="G64" s="80">
        <v>1</v>
      </c>
      <c r="H64" s="80">
        <v>1</v>
      </c>
      <c r="I64" s="102"/>
      <c r="J64" s="102"/>
      <c r="K64" s="102"/>
      <c r="L64" s="152">
        <f t="shared" ref="L64" si="33">SUM(I64:K64)</f>
        <v>0</v>
      </c>
      <c r="M64" s="153">
        <f t="shared" si="29"/>
        <v>0</v>
      </c>
      <c r="N64" s="153">
        <f t="shared" si="23"/>
        <v>0</v>
      </c>
      <c r="O64" s="153">
        <f t="shared" si="30"/>
        <v>0</v>
      </c>
      <c r="P64" s="153">
        <f t="shared" si="31"/>
        <v>0</v>
      </c>
    </row>
    <row r="65" spans="1:16" s="10" customFormat="1" ht="29.25" customHeight="1" x14ac:dyDescent="0.25">
      <c r="A65" s="129" t="s">
        <v>128</v>
      </c>
      <c r="B65" s="27" t="s">
        <v>141</v>
      </c>
      <c r="C65" s="130" t="s">
        <v>106</v>
      </c>
      <c r="D65" s="131"/>
      <c r="E65" s="74"/>
      <c r="F65" s="74"/>
      <c r="G65" s="74"/>
      <c r="H65" s="74"/>
      <c r="I65" s="112"/>
      <c r="J65" s="112"/>
      <c r="K65" s="112"/>
      <c r="L65" s="150"/>
      <c r="M65" s="151">
        <f>SUM(M66)</f>
        <v>0</v>
      </c>
      <c r="N65" s="151">
        <f t="shared" ref="N65:P65" si="34">SUM(N66)</f>
        <v>0</v>
      </c>
      <c r="O65" s="151">
        <f t="shared" si="34"/>
        <v>0</v>
      </c>
      <c r="P65" s="151">
        <f t="shared" si="34"/>
        <v>0</v>
      </c>
    </row>
    <row r="66" spans="1:16" s="10" customFormat="1" ht="26.25" customHeight="1" outlineLevel="1" x14ac:dyDescent="0.25">
      <c r="A66" s="115"/>
      <c r="B66" s="115" t="s">
        <v>142</v>
      </c>
      <c r="C66" s="137" t="s">
        <v>165</v>
      </c>
      <c r="D66" s="138"/>
      <c r="E66" s="120"/>
      <c r="F66" s="120"/>
      <c r="G66" s="120"/>
      <c r="H66" s="120"/>
      <c r="I66" s="122"/>
      <c r="J66" s="122"/>
      <c r="K66" s="122"/>
      <c r="L66" s="154"/>
      <c r="M66" s="155">
        <f>SUM(M67:M68)</f>
        <v>0</v>
      </c>
      <c r="N66" s="155">
        <f t="shared" ref="N66:P66" si="35">SUM(N67:N68)</f>
        <v>0</v>
      </c>
      <c r="O66" s="155">
        <f t="shared" si="35"/>
        <v>0</v>
      </c>
      <c r="P66" s="155">
        <f t="shared" si="35"/>
        <v>0</v>
      </c>
    </row>
    <row r="67" spans="1:16" s="11" customFormat="1" ht="31.5" outlineLevel="1" x14ac:dyDescent="0.25">
      <c r="A67" s="24"/>
      <c r="B67" s="25" t="s">
        <v>200</v>
      </c>
      <c r="C67" s="139" t="s">
        <v>114</v>
      </c>
      <c r="D67" s="26" t="s">
        <v>65</v>
      </c>
      <c r="E67" s="86">
        <f t="shared" ref="E67:E68" si="36">SUM(F67:H67)</f>
        <v>30825</v>
      </c>
      <c r="F67" s="80">
        <f>25*616</f>
        <v>15400</v>
      </c>
      <c r="G67" s="80">
        <f>25*322</f>
        <v>8050</v>
      </c>
      <c r="H67" s="80">
        <f>25*295</f>
        <v>7375</v>
      </c>
      <c r="I67" s="102"/>
      <c r="J67" s="102"/>
      <c r="K67" s="102"/>
      <c r="L67" s="152">
        <f t="shared" ref="L67:L68" si="37">SUM(I67:K67)</f>
        <v>0</v>
      </c>
      <c r="M67" s="153">
        <f t="shared" ref="M67:M68" si="38">E67*I67</f>
        <v>0</v>
      </c>
      <c r="N67" s="153">
        <f t="shared" ref="N67:N68" si="39">E67*J67</f>
        <v>0</v>
      </c>
      <c r="O67" s="153">
        <f t="shared" ref="O67:O68" si="40">K67*E67</f>
        <v>0</v>
      </c>
      <c r="P67" s="153">
        <f t="shared" ref="P67:P68" si="41">L67*E67</f>
        <v>0</v>
      </c>
    </row>
    <row r="68" spans="1:16" s="11" customFormat="1" ht="31.5" outlineLevel="1" x14ac:dyDescent="0.25">
      <c r="A68" s="24"/>
      <c r="B68" s="25" t="s">
        <v>201</v>
      </c>
      <c r="C68" s="139" t="s">
        <v>107</v>
      </c>
      <c r="D68" s="26" t="s">
        <v>65</v>
      </c>
      <c r="E68" s="86">
        <f t="shared" si="36"/>
        <v>30825</v>
      </c>
      <c r="F68" s="80">
        <f>25*616</f>
        <v>15400</v>
      </c>
      <c r="G68" s="80">
        <f>25*322</f>
        <v>8050</v>
      </c>
      <c r="H68" s="80">
        <f>25*295</f>
        <v>7375</v>
      </c>
      <c r="I68" s="102"/>
      <c r="J68" s="102"/>
      <c r="K68" s="102"/>
      <c r="L68" s="152">
        <f t="shared" si="37"/>
        <v>0</v>
      </c>
      <c r="M68" s="153">
        <f t="shared" si="38"/>
        <v>0</v>
      </c>
      <c r="N68" s="153">
        <f t="shared" si="39"/>
        <v>0</v>
      </c>
      <c r="O68" s="153">
        <f t="shared" si="40"/>
        <v>0</v>
      </c>
      <c r="P68" s="153">
        <f t="shared" si="41"/>
        <v>0</v>
      </c>
    </row>
    <row r="69" spans="1:16" s="11" customFormat="1" ht="21" customHeight="1" x14ac:dyDescent="0.25">
      <c r="A69" s="140"/>
      <c r="B69" s="140"/>
      <c r="C69" s="141" t="s">
        <v>51</v>
      </c>
      <c r="D69" s="142"/>
      <c r="E69" s="91"/>
      <c r="F69" s="91"/>
      <c r="G69" s="91"/>
      <c r="H69" s="91"/>
      <c r="I69" s="105"/>
      <c r="J69" s="105"/>
      <c r="K69" s="105"/>
      <c r="L69" s="156"/>
      <c r="M69" s="149">
        <f>SUM(M65,M38,M22,M19)</f>
        <v>0</v>
      </c>
      <c r="N69" s="149">
        <f>SUM(N65,N38,N22,N19)</f>
        <v>0</v>
      </c>
      <c r="O69" s="149">
        <f>SUM(O65,O38,O22,O19)</f>
        <v>0</v>
      </c>
      <c r="P69" s="149">
        <f>SUM(P65,P38,P22,P19)</f>
        <v>0</v>
      </c>
    </row>
    <row r="70" spans="1:16" s="11" customFormat="1" ht="21.75" customHeight="1" x14ac:dyDescent="0.25">
      <c r="A70" s="24"/>
      <c r="B70" s="25"/>
      <c r="C70" s="31" t="s">
        <v>52</v>
      </c>
      <c r="D70" s="26"/>
      <c r="E70" s="80"/>
      <c r="F70" s="80"/>
      <c r="G70" s="80"/>
      <c r="H70" s="80"/>
      <c r="I70" s="108"/>
      <c r="J70" s="108"/>
      <c r="K70" s="108"/>
      <c r="L70" s="152"/>
      <c r="M70" s="157"/>
      <c r="N70" s="157"/>
      <c r="O70" s="157"/>
      <c r="P70" s="157">
        <f>ROUND(P69*20/120,2)</f>
        <v>0</v>
      </c>
    </row>
    <row r="71" spans="1:16" s="11" customFormat="1" ht="21.75" customHeight="1" x14ac:dyDescent="0.25">
      <c r="A71" s="24"/>
      <c r="B71" s="25"/>
      <c r="C71" s="158" t="s">
        <v>224</v>
      </c>
      <c r="D71" s="26"/>
      <c r="E71" s="80"/>
      <c r="F71" s="80"/>
      <c r="G71" s="80"/>
      <c r="H71" s="80"/>
      <c r="I71" s="108"/>
      <c r="J71" s="108"/>
      <c r="K71" s="108"/>
      <c r="L71" s="152"/>
      <c r="M71" s="157"/>
      <c r="N71" s="157"/>
      <c r="O71" s="157"/>
      <c r="P71" s="149">
        <f>SUMPRODUCT((F20:F68)*(L20:L68)*(A20:A68=""))</f>
        <v>0</v>
      </c>
    </row>
    <row r="72" spans="1:16" s="11" customFormat="1" ht="21.75" customHeight="1" x14ac:dyDescent="0.25">
      <c r="A72" s="24"/>
      <c r="B72" s="25"/>
      <c r="C72" s="158" t="s">
        <v>225</v>
      </c>
      <c r="D72" s="26"/>
      <c r="E72" s="80"/>
      <c r="F72" s="80"/>
      <c r="G72" s="80"/>
      <c r="H72" s="80"/>
      <c r="I72" s="108"/>
      <c r="J72" s="108"/>
      <c r="K72" s="108"/>
      <c r="L72" s="152"/>
      <c r="M72" s="157"/>
      <c r="N72" s="157"/>
      <c r="O72" s="157"/>
      <c r="P72" s="149">
        <f>SUMPRODUCT(($L$20:$L$68)*(G20:G68)*($A$20:$A$68=""))</f>
        <v>0</v>
      </c>
    </row>
    <row r="73" spans="1:16" s="11" customFormat="1" ht="21.75" customHeight="1" x14ac:dyDescent="0.25">
      <c r="A73" s="24"/>
      <c r="B73" s="25"/>
      <c r="C73" s="158" t="s">
        <v>226</v>
      </c>
      <c r="D73" s="26"/>
      <c r="E73" s="80"/>
      <c r="F73" s="80"/>
      <c r="G73" s="80"/>
      <c r="H73" s="80"/>
      <c r="I73" s="108"/>
      <c r="J73" s="108"/>
      <c r="K73" s="108"/>
      <c r="L73" s="152"/>
      <c r="M73" s="157"/>
      <c r="N73" s="157"/>
      <c r="O73" s="157"/>
      <c r="P73" s="149">
        <f>SUMPRODUCT(($L$20:$L$68)*(H20:H68)*($A$20:$A$68=""))</f>
        <v>0</v>
      </c>
    </row>
    <row r="74" spans="1:16" x14ac:dyDescent="0.25">
      <c r="A74" s="29"/>
      <c r="B74" s="190" t="s">
        <v>169</v>
      </c>
      <c r="C74" s="191"/>
      <c r="D74" s="191"/>
      <c r="E74" s="191"/>
      <c r="F74" s="191"/>
      <c r="G74" s="191"/>
      <c r="H74" s="191"/>
      <c r="I74" s="191"/>
      <c r="J74" s="191"/>
      <c r="K74" s="191"/>
      <c r="L74" s="191"/>
      <c r="M74" s="191"/>
      <c r="N74" s="191"/>
      <c r="O74" s="191"/>
      <c r="P74" s="191"/>
    </row>
    <row r="75" spans="1:16" x14ac:dyDescent="0.25">
      <c r="A75" s="30"/>
      <c r="B75" s="182" t="s">
        <v>11</v>
      </c>
      <c r="C75" s="183"/>
      <c r="D75" s="183"/>
      <c r="E75" s="183"/>
      <c r="F75" s="183"/>
      <c r="G75" s="183"/>
      <c r="H75" s="183"/>
      <c r="I75" s="183"/>
      <c r="J75" s="183"/>
      <c r="K75" s="183"/>
      <c r="L75" s="183"/>
      <c r="M75" s="183"/>
      <c r="N75" s="183"/>
      <c r="O75" s="183"/>
      <c r="P75" s="183"/>
    </row>
    <row r="76" spans="1:16" ht="32.25" customHeight="1" x14ac:dyDescent="0.25">
      <c r="A76" s="30"/>
      <c r="B76" s="182" t="s">
        <v>19</v>
      </c>
      <c r="C76" s="183"/>
      <c r="D76" s="183"/>
      <c r="E76" s="183"/>
      <c r="F76" s="183"/>
      <c r="G76" s="183"/>
      <c r="H76" s="183"/>
      <c r="I76" s="183"/>
      <c r="J76" s="183"/>
      <c r="K76" s="183"/>
      <c r="L76" s="183"/>
      <c r="M76" s="183"/>
      <c r="N76" s="183"/>
      <c r="O76" s="183"/>
      <c r="P76" s="183"/>
    </row>
    <row r="77" spans="1:16" ht="33.75" customHeight="1" x14ac:dyDescent="0.25">
      <c r="A77" s="30"/>
      <c r="B77" s="182" t="s">
        <v>20</v>
      </c>
      <c r="C77" s="183"/>
      <c r="D77" s="183"/>
      <c r="E77" s="183"/>
      <c r="F77" s="183"/>
      <c r="G77" s="183"/>
      <c r="H77" s="183"/>
      <c r="I77" s="183"/>
      <c r="J77" s="183"/>
      <c r="K77" s="183"/>
      <c r="L77" s="183"/>
      <c r="M77" s="183"/>
      <c r="N77" s="183"/>
      <c r="O77" s="183"/>
      <c r="P77" s="183"/>
    </row>
    <row r="78" spans="1:16" ht="33" customHeight="1" x14ac:dyDescent="0.25">
      <c r="A78" s="30"/>
      <c r="B78" s="182" t="s">
        <v>21</v>
      </c>
      <c r="C78" s="183"/>
      <c r="D78" s="183"/>
      <c r="E78" s="183"/>
      <c r="F78" s="183"/>
      <c r="G78" s="183"/>
      <c r="H78" s="183"/>
      <c r="I78" s="183"/>
      <c r="J78" s="183"/>
      <c r="K78" s="183"/>
      <c r="L78" s="183"/>
      <c r="M78" s="183"/>
      <c r="N78" s="183"/>
      <c r="O78" s="183"/>
      <c r="P78" s="183"/>
    </row>
    <row r="79" spans="1:16" ht="32.25" customHeight="1" x14ac:dyDescent="0.25">
      <c r="A79" s="30"/>
      <c r="B79" s="182" t="s">
        <v>122</v>
      </c>
      <c r="C79" s="183"/>
      <c r="D79" s="183"/>
      <c r="E79" s="183"/>
      <c r="F79" s="183"/>
      <c r="G79" s="183"/>
      <c r="H79" s="183"/>
      <c r="I79" s="183"/>
      <c r="J79" s="183"/>
      <c r="K79" s="183"/>
      <c r="L79" s="183"/>
      <c r="M79" s="183"/>
      <c r="N79" s="183"/>
      <c r="O79" s="183"/>
      <c r="P79" s="183"/>
    </row>
    <row r="80" spans="1:16" x14ac:dyDescent="0.25">
      <c r="A80" s="30"/>
      <c r="B80" s="182" t="s">
        <v>227</v>
      </c>
      <c r="C80" s="183"/>
      <c r="D80" s="183"/>
      <c r="E80" s="183"/>
      <c r="F80" s="183"/>
      <c r="G80" s="183"/>
      <c r="H80" s="183"/>
      <c r="I80" s="183"/>
      <c r="J80" s="183"/>
      <c r="K80" s="183"/>
      <c r="L80" s="183"/>
      <c r="M80" s="183"/>
      <c r="N80" s="183"/>
      <c r="O80" s="183"/>
      <c r="P80" s="183"/>
    </row>
    <row r="81" spans="1:16" x14ac:dyDescent="0.25">
      <c r="A81" s="30"/>
      <c r="B81" s="192" t="s">
        <v>24</v>
      </c>
      <c r="C81" s="193"/>
      <c r="D81" s="193"/>
      <c r="E81" s="193"/>
      <c r="F81" s="193"/>
      <c r="G81" s="193"/>
      <c r="H81" s="193"/>
      <c r="I81" s="193"/>
      <c r="J81" s="193"/>
      <c r="K81" s="193"/>
      <c r="L81" s="193"/>
      <c r="M81" s="193"/>
      <c r="N81" s="193"/>
      <c r="O81" s="193"/>
      <c r="P81" s="193"/>
    </row>
    <row r="82" spans="1:16" ht="44.25" customHeight="1" x14ac:dyDescent="0.25">
      <c r="A82" s="30"/>
      <c r="B82" s="182" t="s">
        <v>58</v>
      </c>
      <c r="C82" s="183"/>
      <c r="D82" s="183"/>
      <c r="E82" s="183"/>
      <c r="F82" s="183"/>
      <c r="G82" s="183"/>
      <c r="H82" s="183"/>
      <c r="I82" s="183"/>
      <c r="J82" s="183"/>
      <c r="K82" s="183"/>
      <c r="L82" s="183"/>
      <c r="M82" s="183"/>
      <c r="N82" s="183"/>
      <c r="O82" s="183"/>
      <c r="P82" s="183"/>
    </row>
    <row r="83" spans="1:16" x14ac:dyDescent="0.25">
      <c r="A83" s="30"/>
      <c r="B83" s="192" t="s">
        <v>23</v>
      </c>
      <c r="C83" s="193"/>
      <c r="D83" s="193"/>
      <c r="E83" s="193"/>
      <c r="F83" s="193"/>
      <c r="G83" s="193"/>
      <c r="H83" s="193"/>
      <c r="I83" s="193"/>
      <c r="J83" s="193"/>
      <c r="K83" s="193"/>
      <c r="L83" s="193"/>
      <c r="M83" s="193"/>
      <c r="N83" s="193"/>
      <c r="O83" s="193"/>
      <c r="P83" s="193"/>
    </row>
    <row r="84" spans="1:16" ht="32.25" customHeight="1" x14ac:dyDescent="0.25">
      <c r="A84" s="30"/>
      <c r="B84" s="182" t="s">
        <v>59</v>
      </c>
      <c r="C84" s="183"/>
      <c r="D84" s="183"/>
      <c r="E84" s="183"/>
      <c r="F84" s="183"/>
      <c r="G84" s="183"/>
      <c r="H84" s="183"/>
      <c r="I84" s="183"/>
      <c r="J84" s="183"/>
      <c r="K84" s="183"/>
      <c r="L84" s="183"/>
      <c r="M84" s="183"/>
      <c r="N84" s="183"/>
      <c r="O84" s="183"/>
      <c r="P84" s="183"/>
    </row>
    <row r="85" spans="1:16" ht="48.75" customHeight="1" x14ac:dyDescent="0.25">
      <c r="A85" s="30"/>
      <c r="B85" s="182" t="s">
        <v>60</v>
      </c>
      <c r="C85" s="183"/>
      <c r="D85" s="183"/>
      <c r="E85" s="183"/>
      <c r="F85" s="183"/>
      <c r="G85" s="183"/>
      <c r="H85" s="183"/>
      <c r="I85" s="183"/>
      <c r="J85" s="183"/>
      <c r="K85" s="183"/>
      <c r="L85" s="183"/>
      <c r="M85" s="183"/>
      <c r="N85" s="183"/>
      <c r="O85" s="183"/>
      <c r="P85" s="183"/>
    </row>
    <row r="86" spans="1:16" ht="18" customHeight="1" x14ac:dyDescent="0.25">
      <c r="A86" s="30"/>
      <c r="B86" s="7"/>
      <c r="C86" s="7"/>
      <c r="D86" s="7"/>
      <c r="E86" s="92"/>
      <c r="F86" s="92"/>
      <c r="G86" s="92"/>
      <c r="H86" s="92"/>
      <c r="I86" s="92"/>
      <c r="J86" s="92"/>
      <c r="K86" s="92"/>
      <c r="L86" s="92"/>
      <c r="M86" s="92"/>
      <c r="N86" s="92"/>
      <c r="O86" s="92"/>
      <c r="P86" s="92"/>
    </row>
    <row r="87" spans="1:16" s="38" customFormat="1" ht="11.45" customHeight="1" x14ac:dyDescent="0.2">
      <c r="A87" s="37" t="s">
        <v>38</v>
      </c>
      <c r="B87" s="37"/>
      <c r="C87" s="37"/>
      <c r="D87" s="37"/>
      <c r="E87" s="93"/>
      <c r="F87" s="93"/>
      <c r="G87" s="93"/>
      <c r="H87" s="93"/>
      <c r="I87" s="93"/>
      <c r="J87" s="93"/>
      <c r="K87" s="93"/>
      <c r="L87" s="93"/>
      <c r="M87" s="93"/>
      <c r="N87" s="94"/>
      <c r="O87" s="94"/>
      <c r="P87" s="94"/>
    </row>
    <row r="88" spans="1:16" s="38" customFormat="1" ht="11.45" customHeight="1" x14ac:dyDescent="0.2">
      <c r="A88" s="39"/>
      <c r="B88" s="171" t="s">
        <v>39</v>
      </c>
      <c r="C88" s="172"/>
      <c r="D88" s="173"/>
      <c r="E88" s="174"/>
      <c r="F88" s="175"/>
      <c r="G88" s="175"/>
      <c r="H88" s="175"/>
      <c r="I88" s="175"/>
      <c r="J88" s="175"/>
      <c r="K88" s="175"/>
      <c r="L88" s="175"/>
      <c r="M88" s="175"/>
      <c r="N88" s="175"/>
      <c r="O88" s="175"/>
      <c r="P88" s="176"/>
    </row>
    <row r="89" spans="1:16" s="38" customFormat="1" ht="11.45" customHeight="1" x14ac:dyDescent="0.2">
      <c r="A89" s="39"/>
      <c r="B89" s="171" t="s">
        <v>40</v>
      </c>
      <c r="C89" s="172"/>
      <c r="D89" s="173"/>
      <c r="E89" s="184"/>
      <c r="F89" s="185"/>
      <c r="G89" s="185"/>
      <c r="H89" s="185"/>
      <c r="I89" s="185"/>
      <c r="J89" s="185"/>
      <c r="K89" s="185"/>
      <c r="L89" s="185"/>
      <c r="M89" s="185"/>
      <c r="N89" s="185"/>
      <c r="O89" s="185"/>
      <c r="P89" s="186"/>
    </row>
    <row r="90" spans="1:16" s="38" customFormat="1" ht="11.45" customHeight="1" x14ac:dyDescent="0.2">
      <c r="A90" s="39"/>
      <c r="B90" s="187" t="s">
        <v>41</v>
      </c>
      <c r="C90" s="188"/>
      <c r="D90" s="189"/>
      <c r="E90" s="174"/>
      <c r="F90" s="175"/>
      <c r="G90" s="175"/>
      <c r="H90" s="175"/>
      <c r="I90" s="175"/>
      <c r="J90" s="175"/>
      <c r="K90" s="175"/>
      <c r="L90" s="175"/>
      <c r="M90" s="175"/>
      <c r="N90" s="175"/>
      <c r="O90" s="175"/>
      <c r="P90" s="176"/>
    </row>
    <row r="91" spans="1:16" s="38" customFormat="1" ht="11.45" customHeight="1" x14ac:dyDescent="0.2">
      <c r="A91" s="39"/>
      <c r="B91" s="187" t="s">
        <v>170</v>
      </c>
      <c r="C91" s="188"/>
      <c r="D91" s="189"/>
      <c r="E91" s="174"/>
      <c r="F91" s="175"/>
      <c r="G91" s="175"/>
      <c r="H91" s="175"/>
      <c r="I91" s="175"/>
      <c r="J91" s="175"/>
      <c r="K91" s="175"/>
      <c r="L91" s="175"/>
      <c r="M91" s="175"/>
      <c r="N91" s="175"/>
      <c r="O91" s="175"/>
      <c r="P91" s="176"/>
    </row>
    <row r="92" spans="1:16" s="38" customFormat="1" ht="11.45" customHeight="1" x14ac:dyDescent="0.2">
      <c r="A92" s="39"/>
      <c r="B92" s="171" t="s">
        <v>43</v>
      </c>
      <c r="C92" s="172"/>
      <c r="D92" s="173"/>
      <c r="E92" s="184" t="s">
        <v>100</v>
      </c>
      <c r="F92" s="185"/>
      <c r="G92" s="185"/>
      <c r="H92" s="185"/>
      <c r="I92" s="185"/>
      <c r="J92" s="185"/>
      <c r="K92" s="185"/>
      <c r="L92" s="185"/>
      <c r="M92" s="185"/>
      <c r="N92" s="185"/>
      <c r="O92" s="185"/>
      <c r="P92" s="186"/>
    </row>
    <row r="93" spans="1:16" s="38" customFormat="1" ht="11.45" customHeight="1" x14ac:dyDescent="0.2">
      <c r="A93" s="39"/>
      <c r="B93" s="171" t="s">
        <v>44</v>
      </c>
      <c r="C93" s="172"/>
      <c r="D93" s="173"/>
      <c r="E93" s="174" t="s">
        <v>101</v>
      </c>
      <c r="F93" s="175"/>
      <c r="G93" s="175"/>
      <c r="H93" s="175"/>
      <c r="I93" s="175"/>
      <c r="J93" s="175"/>
      <c r="K93" s="175"/>
      <c r="L93" s="175"/>
      <c r="M93" s="175"/>
      <c r="N93" s="175"/>
      <c r="O93" s="175"/>
      <c r="P93" s="176"/>
    </row>
    <row r="94" spans="1:16" s="38" customFormat="1" ht="11.45" customHeight="1" x14ac:dyDescent="0.2">
      <c r="A94" s="39"/>
      <c r="B94" s="171" t="s">
        <v>102</v>
      </c>
      <c r="C94" s="172"/>
      <c r="D94" s="173"/>
      <c r="E94" s="174" t="s">
        <v>101</v>
      </c>
      <c r="F94" s="175"/>
      <c r="G94" s="175"/>
      <c r="H94" s="175"/>
      <c r="I94" s="175"/>
      <c r="J94" s="175"/>
      <c r="K94" s="175"/>
      <c r="L94" s="175"/>
      <c r="M94" s="175"/>
      <c r="N94" s="175"/>
      <c r="O94" s="175"/>
      <c r="P94" s="176"/>
    </row>
    <row r="95" spans="1:16" s="38" customFormat="1" ht="11.45" customHeight="1" x14ac:dyDescent="0.2">
      <c r="A95" s="39"/>
      <c r="B95" s="171" t="s">
        <v>103</v>
      </c>
      <c r="C95" s="172"/>
      <c r="D95" s="173"/>
      <c r="E95" s="174" t="s">
        <v>101</v>
      </c>
      <c r="F95" s="175"/>
      <c r="G95" s="175"/>
      <c r="H95" s="175"/>
      <c r="I95" s="175"/>
      <c r="J95" s="175"/>
      <c r="K95" s="175"/>
      <c r="L95" s="175"/>
      <c r="M95" s="175"/>
      <c r="N95" s="175"/>
      <c r="O95" s="175"/>
      <c r="P95" s="176"/>
    </row>
    <row r="96" spans="1:16" s="38" customFormat="1" ht="11.45" customHeight="1" x14ac:dyDescent="0.2">
      <c r="A96" s="39"/>
      <c r="B96" s="171" t="s">
        <v>45</v>
      </c>
      <c r="C96" s="172"/>
      <c r="D96" s="173"/>
      <c r="E96" s="174" t="s">
        <v>104</v>
      </c>
      <c r="F96" s="175"/>
      <c r="G96" s="175"/>
      <c r="H96" s="175"/>
      <c r="I96" s="175"/>
      <c r="J96" s="175"/>
      <c r="K96" s="175"/>
      <c r="L96" s="175"/>
      <c r="M96" s="175"/>
      <c r="N96" s="175"/>
      <c r="O96" s="175"/>
      <c r="P96" s="176"/>
    </row>
    <row r="97" spans="1:16" s="38" customFormat="1" ht="11.45" customHeight="1" x14ac:dyDescent="0.2">
      <c r="A97" s="39"/>
      <c r="B97" s="171" t="s">
        <v>46</v>
      </c>
      <c r="C97" s="172"/>
      <c r="D97" s="173"/>
      <c r="E97" s="174" t="s">
        <v>105</v>
      </c>
      <c r="F97" s="175"/>
      <c r="G97" s="175"/>
      <c r="H97" s="175"/>
      <c r="I97" s="175"/>
      <c r="J97" s="175"/>
      <c r="K97" s="175"/>
      <c r="L97" s="175"/>
      <c r="M97" s="175"/>
      <c r="N97" s="175"/>
      <c r="O97" s="175"/>
      <c r="P97" s="176"/>
    </row>
    <row r="98" spans="1:16" s="38" customFormat="1" ht="11.45" customHeight="1" x14ac:dyDescent="0.2">
      <c r="A98" s="39"/>
      <c r="B98" s="40"/>
      <c r="C98" s="40"/>
      <c r="D98" s="40"/>
      <c r="E98" s="95"/>
      <c r="F98" s="95"/>
      <c r="G98" s="95"/>
      <c r="H98" s="95"/>
      <c r="I98" s="92"/>
      <c r="J98" s="92"/>
      <c r="K98" s="92"/>
      <c r="L98" s="92"/>
      <c r="M98" s="92"/>
      <c r="N98" s="92"/>
      <c r="O98" s="92"/>
      <c r="P98" s="92"/>
    </row>
    <row r="99" spans="1:16" s="38" customFormat="1" ht="11.45" customHeight="1" x14ac:dyDescent="0.2">
      <c r="A99" s="39"/>
      <c r="B99" s="177" t="s">
        <v>25</v>
      </c>
      <c r="C99" s="177"/>
      <c r="D99" s="177"/>
      <c r="E99" s="177"/>
      <c r="F99" s="177"/>
      <c r="G99" s="177"/>
      <c r="H99" s="177"/>
      <c r="I99" s="177"/>
      <c r="J99" s="177"/>
      <c r="K99" s="177"/>
      <c r="L99" s="177"/>
      <c r="M99" s="177"/>
      <c r="N99" s="177"/>
      <c r="O99" s="177"/>
      <c r="P99" s="177"/>
    </row>
    <row r="100" spans="1:16" s="38" customFormat="1" ht="11.45" customHeight="1" x14ac:dyDescent="0.2">
      <c r="A100" s="39"/>
      <c r="B100" s="177"/>
      <c r="C100" s="177"/>
      <c r="D100" s="177"/>
      <c r="E100" s="177"/>
      <c r="F100" s="177"/>
      <c r="G100" s="177"/>
      <c r="H100" s="177"/>
      <c r="I100" s="177"/>
      <c r="J100" s="177"/>
      <c r="K100" s="177"/>
      <c r="L100" s="177"/>
      <c r="M100" s="177"/>
      <c r="N100" s="177"/>
      <c r="O100" s="177"/>
      <c r="P100" s="177"/>
    </row>
    <row r="101" spans="1:16" s="38" customFormat="1" ht="11.45" customHeight="1" x14ac:dyDescent="0.2">
      <c r="A101" s="39"/>
      <c r="B101" s="177"/>
      <c r="C101" s="177"/>
      <c r="D101" s="177"/>
      <c r="E101" s="177"/>
      <c r="F101" s="177"/>
      <c r="G101" s="177"/>
      <c r="H101" s="177"/>
      <c r="I101" s="177"/>
      <c r="J101" s="177"/>
      <c r="K101" s="177"/>
      <c r="L101" s="177"/>
      <c r="M101" s="177"/>
      <c r="N101" s="177"/>
      <c r="O101" s="177"/>
      <c r="P101" s="177"/>
    </row>
    <row r="102" spans="1:16" s="38" customFormat="1" ht="47.25" customHeight="1" x14ac:dyDescent="0.2">
      <c r="A102" s="39"/>
      <c r="B102" s="177"/>
      <c r="C102" s="177"/>
      <c r="D102" s="177"/>
      <c r="E102" s="177"/>
      <c r="F102" s="177"/>
      <c r="G102" s="177"/>
      <c r="H102" s="177"/>
      <c r="I102" s="177"/>
      <c r="J102" s="177"/>
      <c r="K102" s="177"/>
      <c r="L102" s="177"/>
      <c r="M102" s="177"/>
      <c r="N102" s="177"/>
      <c r="O102" s="177"/>
      <c r="P102" s="177"/>
    </row>
    <row r="103" spans="1:16" s="38" customFormat="1" ht="11.45" customHeight="1" x14ac:dyDescent="0.2">
      <c r="A103" s="39"/>
      <c r="B103" s="40"/>
      <c r="C103" s="40"/>
      <c r="D103" s="40"/>
      <c r="E103" s="95"/>
      <c r="F103" s="95"/>
      <c r="G103" s="95"/>
      <c r="H103" s="95"/>
      <c r="I103" s="92"/>
      <c r="J103" s="92"/>
      <c r="K103" s="92"/>
      <c r="L103" s="92"/>
      <c r="M103" s="92"/>
      <c r="N103" s="92"/>
      <c r="O103" s="92"/>
      <c r="P103" s="92"/>
    </row>
    <row r="104" spans="1:16" s="38" customFormat="1" ht="11.45" customHeight="1" x14ac:dyDescent="0.2">
      <c r="A104" s="39"/>
      <c r="B104" s="40"/>
      <c r="C104" s="40"/>
      <c r="D104" s="40"/>
      <c r="E104" s="95"/>
      <c r="F104" s="95"/>
      <c r="G104" s="95"/>
      <c r="H104" s="95"/>
      <c r="I104" s="92"/>
      <c r="J104" s="92"/>
      <c r="K104" s="92"/>
      <c r="L104" s="92"/>
      <c r="M104" s="92"/>
      <c r="N104" s="92"/>
      <c r="O104" s="92"/>
      <c r="P104" s="92"/>
    </row>
    <row r="105" spans="1:16" s="38" customFormat="1" ht="11.45" customHeight="1" x14ac:dyDescent="0.2">
      <c r="A105" s="39"/>
      <c r="B105" s="40"/>
      <c r="C105" s="40"/>
      <c r="D105" s="40"/>
      <c r="E105" s="95"/>
      <c r="F105" s="95"/>
      <c r="G105" s="95"/>
      <c r="H105" s="95"/>
      <c r="I105" s="92"/>
      <c r="J105" s="92"/>
      <c r="K105" s="92"/>
      <c r="L105" s="92"/>
      <c r="M105" s="92"/>
      <c r="N105" s="92"/>
      <c r="O105" s="92"/>
      <c r="P105" s="92"/>
    </row>
    <row r="106" spans="1:16" s="38" customFormat="1" ht="11.45" customHeight="1" x14ac:dyDescent="0.2">
      <c r="A106" s="39"/>
      <c r="B106" s="40"/>
      <c r="C106" s="40"/>
      <c r="D106" s="40"/>
      <c r="E106" s="95"/>
      <c r="F106" s="95"/>
      <c r="G106" s="95"/>
      <c r="H106" s="95"/>
      <c r="I106" s="92"/>
      <c r="J106" s="92"/>
      <c r="K106" s="92"/>
      <c r="L106" s="92"/>
      <c r="M106" s="92"/>
      <c r="N106" s="92"/>
      <c r="O106" s="92"/>
      <c r="P106" s="92"/>
    </row>
    <row r="107" spans="1:16" ht="12" customHeight="1" x14ac:dyDescent="0.25">
      <c r="A107" s="17"/>
      <c r="B107" s="18"/>
      <c r="C107" s="6"/>
      <c r="D107" s="32"/>
      <c r="E107" s="95"/>
      <c r="F107" s="95"/>
      <c r="G107" s="95"/>
      <c r="H107" s="95"/>
      <c r="I107" s="92"/>
      <c r="J107" s="92"/>
      <c r="K107" s="92"/>
      <c r="L107" s="92"/>
      <c r="M107" s="92"/>
      <c r="N107" s="92"/>
      <c r="O107" s="92"/>
      <c r="P107" s="92"/>
    </row>
    <row r="108" spans="1:16" s="19" customFormat="1" ht="15" hidden="1" customHeight="1" x14ac:dyDescent="0.2">
      <c r="A108" s="33" t="s">
        <v>38</v>
      </c>
      <c r="B108" s="33"/>
      <c r="C108" s="33"/>
      <c r="D108" s="33"/>
      <c r="E108" s="96"/>
      <c r="F108" s="96"/>
      <c r="G108" s="96"/>
      <c r="H108" s="96"/>
      <c r="I108" s="96"/>
      <c r="J108" s="96"/>
      <c r="K108" s="96"/>
      <c r="L108" s="96"/>
      <c r="M108" s="96"/>
      <c r="N108" s="96"/>
      <c r="O108" s="96"/>
      <c r="P108" s="96"/>
    </row>
    <row r="109" spans="1:16" s="19" customFormat="1" ht="12.75" hidden="1" customHeight="1" x14ac:dyDescent="0.2">
      <c r="A109" s="20"/>
      <c r="B109" s="162" t="s">
        <v>39</v>
      </c>
      <c r="C109" s="163"/>
      <c r="D109" s="159"/>
      <c r="E109" s="160"/>
      <c r="F109" s="160"/>
      <c r="G109" s="160"/>
      <c r="H109" s="160"/>
      <c r="I109" s="160"/>
      <c r="J109" s="160"/>
      <c r="K109" s="160"/>
      <c r="L109" s="160"/>
      <c r="M109" s="160"/>
      <c r="N109" s="160"/>
      <c r="O109" s="160"/>
      <c r="P109" s="161"/>
    </row>
    <row r="110" spans="1:16" s="19" customFormat="1" ht="12.75" hidden="1" customHeight="1" x14ac:dyDescent="0.2">
      <c r="A110" s="20"/>
      <c r="B110" s="162" t="s">
        <v>40</v>
      </c>
      <c r="C110" s="163"/>
      <c r="D110" s="166"/>
      <c r="E110" s="167"/>
      <c r="F110" s="167"/>
      <c r="G110" s="167"/>
      <c r="H110" s="167"/>
      <c r="I110" s="167"/>
      <c r="J110" s="167"/>
      <c r="K110" s="167"/>
      <c r="L110" s="167"/>
      <c r="M110" s="167"/>
      <c r="N110" s="167"/>
      <c r="O110" s="167"/>
      <c r="P110" s="168"/>
    </row>
    <row r="111" spans="1:16" s="19" customFormat="1" ht="12.75" hidden="1" customHeight="1" x14ac:dyDescent="0.2">
      <c r="A111" s="20"/>
      <c r="B111" s="169" t="s">
        <v>41</v>
      </c>
      <c r="C111" s="170"/>
      <c r="D111" s="159"/>
      <c r="E111" s="160"/>
      <c r="F111" s="160"/>
      <c r="G111" s="160"/>
      <c r="H111" s="160"/>
      <c r="I111" s="160"/>
      <c r="J111" s="160"/>
      <c r="K111" s="160"/>
      <c r="L111" s="160"/>
      <c r="M111" s="160"/>
      <c r="N111" s="160"/>
      <c r="O111" s="160"/>
      <c r="P111" s="161"/>
    </row>
    <row r="112" spans="1:16" s="19" customFormat="1" ht="12.75" hidden="1" customHeight="1" x14ac:dyDescent="0.2">
      <c r="A112" s="20"/>
      <c r="B112" s="169" t="s">
        <v>42</v>
      </c>
      <c r="C112" s="170"/>
      <c r="D112" s="159"/>
      <c r="E112" s="160"/>
      <c r="F112" s="160"/>
      <c r="G112" s="160"/>
      <c r="H112" s="160"/>
      <c r="I112" s="160"/>
      <c r="J112" s="160"/>
      <c r="K112" s="160"/>
      <c r="L112" s="160"/>
      <c r="M112" s="160"/>
      <c r="N112" s="160"/>
      <c r="O112" s="160"/>
      <c r="P112" s="161"/>
    </row>
    <row r="113" spans="1:16" s="19" customFormat="1" ht="12.75" hidden="1" customHeight="1" x14ac:dyDescent="0.2">
      <c r="A113" s="20"/>
      <c r="B113" s="164" t="s">
        <v>43</v>
      </c>
      <c r="C113" s="165"/>
      <c r="D113" s="166"/>
      <c r="E113" s="167"/>
      <c r="F113" s="167"/>
      <c r="G113" s="167"/>
      <c r="H113" s="167"/>
      <c r="I113" s="167"/>
      <c r="J113" s="167"/>
      <c r="K113" s="167"/>
      <c r="L113" s="167"/>
      <c r="M113" s="167"/>
      <c r="N113" s="167"/>
      <c r="O113" s="167"/>
      <c r="P113" s="168"/>
    </row>
    <row r="114" spans="1:16" s="19" customFormat="1" ht="12.75" hidden="1" customHeight="1" x14ac:dyDescent="0.2">
      <c r="A114" s="20"/>
      <c r="B114" s="162" t="s">
        <v>44</v>
      </c>
      <c r="C114" s="163"/>
      <c r="D114" s="159"/>
      <c r="E114" s="160"/>
      <c r="F114" s="160"/>
      <c r="G114" s="160"/>
      <c r="H114" s="160"/>
      <c r="I114" s="160"/>
      <c r="J114" s="160"/>
      <c r="K114" s="160"/>
      <c r="L114" s="160"/>
      <c r="M114" s="160"/>
      <c r="N114" s="160"/>
      <c r="O114" s="160"/>
      <c r="P114" s="161"/>
    </row>
    <row r="115" spans="1:16" s="19" customFormat="1" ht="12.75" hidden="1" customHeight="1" x14ac:dyDescent="0.2">
      <c r="A115" s="20"/>
      <c r="B115" s="162" t="s">
        <v>45</v>
      </c>
      <c r="C115" s="163"/>
      <c r="D115" s="159"/>
      <c r="E115" s="160"/>
      <c r="F115" s="160"/>
      <c r="G115" s="160"/>
      <c r="H115" s="160"/>
      <c r="I115" s="160"/>
      <c r="J115" s="160"/>
      <c r="K115" s="160"/>
      <c r="L115" s="160"/>
      <c r="M115" s="160"/>
      <c r="N115" s="160"/>
      <c r="O115" s="160"/>
      <c r="P115" s="161"/>
    </row>
    <row r="116" spans="1:16" s="19" customFormat="1" ht="12.75" hidden="1" customHeight="1" x14ac:dyDescent="0.2">
      <c r="A116" s="20"/>
      <c r="B116" s="162" t="s">
        <v>46</v>
      </c>
      <c r="C116" s="163"/>
      <c r="D116" s="159"/>
      <c r="E116" s="160"/>
      <c r="F116" s="160"/>
      <c r="G116" s="160"/>
      <c r="H116" s="160"/>
      <c r="I116" s="160"/>
      <c r="J116" s="160"/>
      <c r="K116" s="160"/>
      <c r="L116" s="160"/>
      <c r="M116" s="160"/>
      <c r="N116" s="160"/>
      <c r="O116" s="160"/>
      <c r="P116" s="161"/>
    </row>
    <row r="117" spans="1:16" s="19" customFormat="1" ht="22.5" hidden="1" customHeight="1" x14ac:dyDescent="0.2">
      <c r="A117" s="20"/>
      <c r="B117" s="164" t="s">
        <v>50</v>
      </c>
      <c r="C117" s="165"/>
      <c r="D117" s="159"/>
      <c r="E117" s="160"/>
      <c r="F117" s="160"/>
      <c r="G117" s="160"/>
      <c r="H117" s="160"/>
      <c r="I117" s="160"/>
      <c r="J117" s="160"/>
      <c r="K117" s="160"/>
      <c r="L117" s="160"/>
      <c r="M117" s="160"/>
      <c r="N117" s="160"/>
      <c r="O117" s="160"/>
      <c r="P117" s="161"/>
    </row>
    <row r="118" spans="1:16" s="19" customFormat="1" ht="21" hidden="1" customHeight="1" x14ac:dyDescent="0.2">
      <c r="A118" s="20"/>
      <c r="B118" s="164" t="s">
        <v>53</v>
      </c>
      <c r="C118" s="165"/>
      <c r="D118" s="159"/>
      <c r="E118" s="160"/>
      <c r="F118" s="160"/>
      <c r="G118" s="160"/>
      <c r="H118" s="160"/>
      <c r="I118" s="160"/>
      <c r="J118" s="160"/>
      <c r="K118" s="160"/>
      <c r="L118" s="160"/>
      <c r="M118" s="160"/>
      <c r="N118" s="160"/>
      <c r="O118" s="160"/>
      <c r="P118" s="161"/>
    </row>
    <row r="119" spans="1:16" ht="15.75" hidden="1" customHeight="1" x14ac:dyDescent="0.25">
      <c r="A119" s="179" t="s">
        <v>25</v>
      </c>
      <c r="B119" s="179"/>
      <c r="C119" s="179"/>
      <c r="D119" s="179"/>
      <c r="E119" s="179"/>
      <c r="F119" s="179"/>
      <c r="G119" s="179"/>
      <c r="H119" s="179"/>
      <c r="I119" s="179"/>
      <c r="J119" s="179"/>
      <c r="K119" s="179"/>
      <c r="L119" s="179"/>
      <c r="M119" s="179"/>
      <c r="N119" s="179"/>
      <c r="O119" s="179"/>
      <c r="P119" s="179"/>
    </row>
    <row r="120" spans="1:16" hidden="1" x14ac:dyDescent="0.25">
      <c r="A120" s="179"/>
      <c r="B120" s="179"/>
      <c r="C120" s="179"/>
      <c r="D120" s="179"/>
      <c r="E120" s="179"/>
      <c r="F120" s="179"/>
      <c r="G120" s="179"/>
      <c r="H120" s="179"/>
      <c r="I120" s="179"/>
      <c r="J120" s="179"/>
      <c r="K120" s="179"/>
      <c r="L120" s="179"/>
      <c r="M120" s="179"/>
      <c r="N120" s="179"/>
      <c r="O120" s="179"/>
      <c r="P120" s="179"/>
    </row>
    <row r="121" spans="1:16" hidden="1" x14ac:dyDescent="0.25">
      <c r="A121" s="179"/>
      <c r="B121" s="179"/>
      <c r="C121" s="179"/>
      <c r="D121" s="179"/>
      <c r="E121" s="179"/>
      <c r="F121" s="179"/>
      <c r="G121" s="179"/>
      <c r="H121" s="179"/>
      <c r="I121" s="179"/>
      <c r="J121" s="179"/>
      <c r="K121" s="179"/>
      <c r="L121" s="179"/>
      <c r="M121" s="179"/>
      <c r="N121" s="179"/>
      <c r="O121" s="179"/>
      <c r="P121" s="179"/>
    </row>
    <row r="122" spans="1:16" hidden="1" x14ac:dyDescent="0.25">
      <c r="A122" s="179"/>
      <c r="B122" s="179"/>
      <c r="C122" s="179"/>
      <c r="D122" s="179"/>
      <c r="E122" s="179"/>
      <c r="F122" s="179"/>
      <c r="G122" s="179"/>
      <c r="H122" s="179"/>
      <c r="I122" s="179"/>
      <c r="J122" s="179"/>
      <c r="K122" s="179"/>
      <c r="L122" s="179"/>
      <c r="M122" s="179"/>
      <c r="N122" s="179"/>
      <c r="O122" s="179"/>
      <c r="P122" s="179"/>
    </row>
    <row r="123" spans="1:16" x14ac:dyDescent="0.25">
      <c r="A123" s="4"/>
      <c r="B123" s="4"/>
      <c r="C123" s="22"/>
      <c r="D123" s="5"/>
      <c r="E123" s="97"/>
      <c r="F123" s="97"/>
      <c r="G123" s="97"/>
      <c r="H123" s="97"/>
      <c r="I123" s="98"/>
      <c r="J123" s="98"/>
      <c r="K123" s="98"/>
      <c r="L123" s="98"/>
      <c r="M123" s="98"/>
      <c r="N123" s="98"/>
      <c r="O123" s="98"/>
      <c r="P123" s="98"/>
    </row>
    <row r="124" spans="1:16" x14ac:dyDescent="0.25">
      <c r="B124" s="180" t="s">
        <v>56</v>
      </c>
      <c r="C124" s="180"/>
      <c r="D124" s="181" t="s">
        <v>10</v>
      </c>
      <c r="E124" s="181"/>
      <c r="F124" s="181"/>
      <c r="G124" s="181"/>
      <c r="H124" s="181"/>
      <c r="I124" s="181"/>
      <c r="J124" s="181"/>
      <c r="K124" s="181"/>
      <c r="L124" s="181"/>
      <c r="M124" s="181"/>
      <c r="N124" s="181"/>
      <c r="O124" s="181"/>
      <c r="P124" s="181"/>
    </row>
    <row r="125" spans="1:16" x14ac:dyDescent="0.25">
      <c r="B125" s="178" t="s">
        <v>57</v>
      </c>
      <c r="C125" s="178"/>
      <c r="D125" s="178" t="s">
        <v>9</v>
      </c>
      <c r="E125" s="178"/>
      <c r="F125" s="178"/>
      <c r="G125" s="178"/>
      <c r="H125" s="178"/>
      <c r="I125" s="178"/>
      <c r="J125" s="178"/>
      <c r="K125" s="178"/>
      <c r="L125" s="99"/>
      <c r="M125" s="100"/>
      <c r="N125" s="100"/>
      <c r="O125" s="100"/>
      <c r="P125" s="100"/>
    </row>
  </sheetData>
  <mergeCells count="88">
    <mergeCell ref="A9:B9"/>
    <mergeCell ref="D9:I9"/>
    <mergeCell ref="J9:P9"/>
    <mergeCell ref="A3:K3"/>
    <mergeCell ref="A4:K4"/>
    <mergeCell ref="C6:D6"/>
    <mergeCell ref="D8:I8"/>
    <mergeCell ref="J8:P8"/>
    <mergeCell ref="D10:I10"/>
    <mergeCell ref="J10:P10"/>
    <mergeCell ref="D11:I11"/>
    <mergeCell ref="J11:P11"/>
    <mergeCell ref="D12:I12"/>
    <mergeCell ref="J12:P12"/>
    <mergeCell ref="D13:I13"/>
    <mergeCell ref="J13:P13"/>
    <mergeCell ref="D14:I14"/>
    <mergeCell ref="J14:P14"/>
    <mergeCell ref="D15:I15"/>
    <mergeCell ref="J15:P15"/>
    <mergeCell ref="B78:P78"/>
    <mergeCell ref="A16:A17"/>
    <mergeCell ref="B16:B17"/>
    <mergeCell ref="C16:C17"/>
    <mergeCell ref="D16:D17"/>
    <mergeCell ref="E16:E17"/>
    <mergeCell ref="F16:F17"/>
    <mergeCell ref="G16:G17"/>
    <mergeCell ref="H16:H17"/>
    <mergeCell ref="I16:L16"/>
    <mergeCell ref="M16:P16"/>
    <mergeCell ref="B74:P74"/>
    <mergeCell ref="B75:P75"/>
    <mergeCell ref="B76:P76"/>
    <mergeCell ref="B77:P77"/>
    <mergeCell ref="B90:D90"/>
    <mergeCell ref="E90:P90"/>
    <mergeCell ref="B79:P79"/>
    <mergeCell ref="B80:P80"/>
    <mergeCell ref="B81:P81"/>
    <mergeCell ref="B82:P82"/>
    <mergeCell ref="B83:P83"/>
    <mergeCell ref="B84:P84"/>
    <mergeCell ref="B85:P85"/>
    <mergeCell ref="B88:D88"/>
    <mergeCell ref="E88:P88"/>
    <mergeCell ref="B89:D89"/>
    <mergeCell ref="E89:P89"/>
    <mergeCell ref="B91:D91"/>
    <mergeCell ref="E91:P91"/>
    <mergeCell ref="B92:D92"/>
    <mergeCell ref="E92:P92"/>
    <mergeCell ref="B93:D93"/>
    <mergeCell ref="E93:P93"/>
    <mergeCell ref="B110:C110"/>
    <mergeCell ref="D110:P110"/>
    <mergeCell ref="B94:D94"/>
    <mergeCell ref="E94:P94"/>
    <mergeCell ref="B95:D95"/>
    <mergeCell ref="E95:P95"/>
    <mergeCell ref="B96:D96"/>
    <mergeCell ref="E96:P96"/>
    <mergeCell ref="B97:D97"/>
    <mergeCell ref="E97:P97"/>
    <mergeCell ref="B99:P102"/>
    <mergeCell ref="B109:C109"/>
    <mergeCell ref="D109:P109"/>
    <mergeCell ref="B111:C111"/>
    <mergeCell ref="D111:P111"/>
    <mergeCell ref="B112:C112"/>
    <mergeCell ref="D112:P112"/>
    <mergeCell ref="B113:C113"/>
    <mergeCell ref="D113:P113"/>
    <mergeCell ref="B114:C114"/>
    <mergeCell ref="D114:P114"/>
    <mergeCell ref="B115:C115"/>
    <mergeCell ref="D115:P115"/>
    <mergeCell ref="B116:C116"/>
    <mergeCell ref="D116:P116"/>
    <mergeCell ref="B125:C125"/>
    <mergeCell ref="D125:K125"/>
    <mergeCell ref="B117:C117"/>
    <mergeCell ref="D117:P117"/>
    <mergeCell ref="B118:C118"/>
    <mergeCell ref="D118:P118"/>
    <mergeCell ref="A119:P122"/>
    <mergeCell ref="B124:C124"/>
    <mergeCell ref="D124:P124"/>
  </mergeCells>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Инж. системы и электр </vt:lpstr>
      <vt:lpstr>Версия 2</vt:lpstr>
      <vt:lpstr>'Версия 2'!Область_печати</vt:lpstr>
      <vt:lpstr>'Инж. системы и электр '!Область_печати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Дудкина Дарья Викторовна</cp:lastModifiedBy>
  <cp:lastPrinted>2025-04-10T12:39:48Z</cp:lastPrinted>
  <dcterms:created xsi:type="dcterms:W3CDTF">2012-02-18T10:18:33Z</dcterms:created>
  <dcterms:modified xsi:type="dcterms:W3CDTF">2025-05-13T08:42:01Z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